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uarios\MARAGA\Downloads\"/>
    </mc:Choice>
  </mc:AlternateContent>
  <xr:revisionPtr revIDLastSave="0" documentId="13_ncr:1_{EB534FBD-B4F0-479E-8ADB-3F8D65B2F56E}" xr6:coauthVersionLast="47" xr6:coauthVersionMax="47" xr10:uidLastSave="{00000000-0000-0000-0000-000000000000}"/>
  <bookViews>
    <workbookView showSheetTabs="0" xWindow="-108" yWindow="-108" windowWidth="23256" windowHeight="12576" firstSheet="1" activeTab="2" xr2:uid="{00000000-000D-0000-FFFF-FFFF00000000}"/>
  </bookViews>
  <sheets>
    <sheet name="RESUMEN" sheetId="49" state="hidden" r:id="rId1"/>
    <sheet name="Gráfico1" sheetId="58" r:id="rId2"/>
    <sheet name="simulador" sheetId="57" r:id="rId3"/>
    <sheet name="simulador_1" sheetId="54" r:id="rId4"/>
    <sheet name="Calculos CC" sheetId="55" state="hidden" r:id="rId5"/>
    <sheet name="Simulador Original" sheetId="52" state="hidden" r:id="rId6"/>
    <sheet name="Calculos Original" sheetId="53" state="hidden" r:id="rId7"/>
    <sheet name="Simulador Original (2)" sheetId="56" state="hidden" r:id="rId8"/>
  </sheets>
  <definedNames>
    <definedName name="_xlnm._FilterDatabase" localSheetId="6" hidden="1">'Calculos Original'!$A$3:$G$99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54" l="1"/>
  <c r="H13" i="54" l="1"/>
  <c r="H14" i="54"/>
  <c r="H8" i="54"/>
  <c r="H5" i="54"/>
  <c r="G8" i="57"/>
  <c r="G31" i="54" l="1"/>
  <c r="G13" i="52"/>
  <c r="P5" i="52" l="1"/>
  <c r="G17" i="52"/>
  <c r="G16" i="52"/>
  <c r="G14" i="52"/>
  <c r="G11" i="52"/>
  <c r="G9" i="52"/>
  <c r="G8" i="52"/>
  <c r="G5" i="52"/>
  <c r="C13" i="49" s="1"/>
  <c r="J26" i="54"/>
  <c r="P33" i="54" s="1"/>
  <c r="H20" i="57" s="1"/>
  <c r="H33" i="54"/>
  <c r="A5" i="55"/>
  <c r="G33" i="54"/>
  <c r="F33" i="54"/>
  <c r="B33" i="54"/>
  <c r="R33" i="54" l="1"/>
  <c r="Q6" i="54"/>
  <c r="I31" i="54" s="1"/>
  <c r="AH32" i="54"/>
  <c r="A6" i="55"/>
  <c r="J25" i="54"/>
  <c r="J8" i="54"/>
  <c r="Q11" i="54"/>
  <c r="AI32" i="54"/>
  <c r="G6" i="52"/>
  <c r="Q18" i="54"/>
  <c r="C14" i="49"/>
  <c r="H6" i="54"/>
  <c r="J33" i="54" s="1"/>
  <c r="D20" i="57" s="1"/>
  <c r="Q7" i="54" l="1"/>
  <c r="G10" i="57" s="1"/>
  <c r="S7" i="54"/>
  <c r="Q33" i="54"/>
  <c r="A7" i="55"/>
  <c r="Q15" i="54"/>
  <c r="Q16" i="54" s="1"/>
  <c r="M30" i="54" l="1"/>
  <c r="E33" i="54"/>
  <c r="C4" i="55"/>
  <c r="C5" i="55" s="1"/>
  <c r="D5" i="55" s="1"/>
  <c r="E5" i="55" s="1"/>
  <c r="A8" i="55"/>
  <c r="AB33" i="54"/>
  <c r="C33" i="54" l="1"/>
  <c r="I33" i="54" s="1"/>
  <c r="C20" i="57"/>
  <c r="S33" i="54"/>
  <c r="T33" i="54" s="1"/>
  <c r="G20" i="57" s="1"/>
  <c r="C6" i="55"/>
  <c r="C7" i="55" s="1"/>
  <c r="C8" i="55" s="1"/>
  <c r="D4" i="55"/>
  <c r="E4" i="55" s="1"/>
  <c r="A9" i="55"/>
  <c r="D33" i="54" l="1"/>
  <c r="AH33" i="54"/>
  <c r="D7" i="55"/>
  <c r="E7" i="55" s="1"/>
  <c r="D6" i="55"/>
  <c r="E6" i="55" s="1"/>
  <c r="H6" i="55" s="1"/>
  <c r="B4" i="55"/>
  <c r="B5" i="55" s="1"/>
  <c r="H5" i="55"/>
  <c r="H4" i="55"/>
  <c r="L31" i="54"/>
  <c r="X33" i="54"/>
  <c r="Z33" i="54"/>
  <c r="AA33" i="54" s="1"/>
  <c r="A10" i="55"/>
  <c r="AD33" i="54"/>
  <c r="D8" i="55"/>
  <c r="E8" i="55" s="1"/>
  <c r="C9" i="55"/>
  <c r="B6" i="55" l="1"/>
  <c r="B7" i="55" s="1"/>
  <c r="B8" i="55" s="1"/>
  <c r="H7" i="55"/>
  <c r="H8" i="55"/>
  <c r="A11" i="55"/>
  <c r="D9" i="55"/>
  <c r="E9" i="55" s="1"/>
  <c r="C10" i="55"/>
  <c r="H9" i="55" l="1"/>
  <c r="A12" i="55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0" i="55" s="1"/>
  <c r="A41" i="55" s="1"/>
  <c r="A42" i="55" s="1"/>
  <c r="A43" i="55" s="1"/>
  <c r="A44" i="55" s="1"/>
  <c r="A45" i="55" s="1"/>
  <c r="A46" i="55" s="1"/>
  <c r="A47" i="55" s="1"/>
  <c r="A48" i="55" s="1"/>
  <c r="A49" i="55" s="1"/>
  <c r="A50" i="55" s="1"/>
  <c r="A51" i="55" s="1"/>
  <c r="A52" i="55" s="1"/>
  <c r="A53" i="55" s="1"/>
  <c r="A54" i="55" s="1"/>
  <c r="A55" i="55" s="1"/>
  <c r="A56" i="55" s="1"/>
  <c r="A57" i="55" s="1"/>
  <c r="A58" i="55" s="1"/>
  <c r="A59" i="55" s="1"/>
  <c r="A60" i="55" s="1"/>
  <c r="A61" i="55" s="1"/>
  <c r="A62" i="55" s="1"/>
  <c r="A63" i="55" s="1"/>
  <c r="A64" i="55" s="1"/>
  <c r="A65" i="55" s="1"/>
  <c r="A66" i="55" s="1"/>
  <c r="A67" i="55" s="1"/>
  <c r="A68" i="55" s="1"/>
  <c r="A69" i="55" s="1"/>
  <c r="A70" i="55" s="1"/>
  <c r="A71" i="55" s="1"/>
  <c r="A72" i="55" s="1"/>
  <c r="A73" i="55" s="1"/>
  <c r="A74" i="55" s="1"/>
  <c r="A75" i="55" s="1"/>
  <c r="A76" i="55" s="1"/>
  <c r="A77" i="55" s="1"/>
  <c r="A78" i="55" s="1"/>
  <c r="A79" i="55" s="1"/>
  <c r="A80" i="55" s="1"/>
  <c r="A81" i="55" s="1"/>
  <c r="A82" i="55" s="1"/>
  <c r="A83" i="55" s="1"/>
  <c r="A84" i="55" s="1"/>
  <c r="A85" i="55" s="1"/>
  <c r="A86" i="55" s="1"/>
  <c r="A87" i="55" s="1"/>
  <c r="A88" i="55" s="1"/>
  <c r="A89" i="55" s="1"/>
  <c r="A90" i="55" s="1"/>
  <c r="A91" i="55" s="1"/>
  <c r="A92" i="55" s="1"/>
  <c r="A93" i="55" s="1"/>
  <c r="A94" i="55" s="1"/>
  <c r="A95" i="55" s="1"/>
  <c r="A96" i="55" s="1"/>
  <c r="A97" i="55" s="1"/>
  <c r="A98" i="55" s="1"/>
  <c r="A99" i="55" s="1"/>
  <c r="B9" i="55"/>
  <c r="C11" i="55"/>
  <c r="D10" i="55"/>
  <c r="E10" i="55" s="1"/>
  <c r="H10" i="55" s="1"/>
  <c r="D11" i="55" l="1"/>
  <c r="E11" i="55" s="1"/>
  <c r="H11" i="55" s="1"/>
  <c r="C12" i="55"/>
  <c r="B10" i="55"/>
  <c r="D12" i="55" l="1"/>
  <c r="E12" i="55" s="1"/>
  <c r="H12" i="55" s="1"/>
  <c r="C13" i="55"/>
  <c r="B11" i="55"/>
  <c r="B12" i="55" l="1"/>
  <c r="D13" i="55"/>
  <c r="E13" i="55" s="1"/>
  <c r="H13" i="55" s="1"/>
  <c r="C14" i="55"/>
  <c r="C15" i="55" l="1"/>
  <c r="D14" i="55"/>
  <c r="E14" i="55" s="1"/>
  <c r="H14" i="55" s="1"/>
  <c r="B13" i="55"/>
  <c r="B14" i="55" l="1"/>
  <c r="C16" i="55"/>
  <c r="D15" i="55"/>
  <c r="E15" i="55" s="1"/>
  <c r="H15" i="55" s="1"/>
  <c r="B15" i="55" l="1"/>
  <c r="D16" i="55"/>
  <c r="E16" i="55" s="1"/>
  <c r="H16" i="55" s="1"/>
  <c r="C17" i="55"/>
  <c r="D17" i="55" l="1"/>
  <c r="E17" i="55" s="1"/>
  <c r="H17" i="55" s="1"/>
  <c r="C18" i="55"/>
  <c r="B16" i="55"/>
  <c r="D18" i="55" l="1"/>
  <c r="E18" i="55" s="1"/>
  <c r="H18" i="55" s="1"/>
  <c r="C19" i="55"/>
  <c r="B17" i="55"/>
  <c r="D19" i="55" l="1"/>
  <c r="E19" i="55" s="1"/>
  <c r="H19" i="55" s="1"/>
  <c r="C20" i="55"/>
  <c r="B18" i="55"/>
  <c r="D20" i="55" l="1"/>
  <c r="E20" i="55" s="1"/>
  <c r="H20" i="55" s="1"/>
  <c r="C21" i="55"/>
  <c r="B19" i="55"/>
  <c r="D21" i="55" l="1"/>
  <c r="E21" i="55" s="1"/>
  <c r="H21" i="55" s="1"/>
  <c r="C22" i="55"/>
  <c r="B20" i="55"/>
  <c r="C23" i="55" l="1"/>
  <c r="D22" i="55"/>
  <c r="E22" i="55" s="1"/>
  <c r="H22" i="55" s="1"/>
  <c r="B21" i="55"/>
  <c r="C24" i="55" l="1"/>
  <c r="D23" i="55"/>
  <c r="E23" i="55" s="1"/>
  <c r="H23" i="55" s="1"/>
  <c r="B22" i="55"/>
  <c r="B23" i="55" l="1"/>
  <c r="D24" i="55"/>
  <c r="E24" i="55" s="1"/>
  <c r="H24" i="55" s="1"/>
  <c r="C25" i="55"/>
  <c r="D25" i="55" l="1"/>
  <c r="E25" i="55" s="1"/>
  <c r="H25" i="55" s="1"/>
  <c r="C26" i="55"/>
  <c r="B24" i="55"/>
  <c r="D26" i="55" l="1"/>
  <c r="E26" i="55" s="1"/>
  <c r="H26" i="55" s="1"/>
  <c r="C27" i="55"/>
  <c r="B25" i="55"/>
  <c r="D27" i="55" l="1"/>
  <c r="E27" i="55" s="1"/>
  <c r="H27" i="55" s="1"/>
  <c r="C28" i="55"/>
  <c r="B26" i="55"/>
  <c r="D28" i="55" l="1"/>
  <c r="E28" i="55" s="1"/>
  <c r="H28" i="55" s="1"/>
  <c r="C29" i="55"/>
  <c r="B27" i="55"/>
  <c r="D29" i="55" l="1"/>
  <c r="E29" i="55" s="1"/>
  <c r="H29" i="55" s="1"/>
  <c r="C30" i="55"/>
  <c r="B28" i="55"/>
  <c r="C31" i="55" l="1"/>
  <c r="D30" i="55"/>
  <c r="E30" i="55" s="1"/>
  <c r="H30" i="55" s="1"/>
  <c r="B29" i="55"/>
  <c r="B30" i="55" l="1"/>
  <c r="C32" i="55"/>
  <c r="D31" i="55"/>
  <c r="E31" i="55" s="1"/>
  <c r="H31" i="55" s="1"/>
  <c r="B31" i="55" l="1"/>
  <c r="D32" i="55"/>
  <c r="E32" i="55" s="1"/>
  <c r="H32" i="55" s="1"/>
  <c r="C33" i="55"/>
  <c r="D33" i="55" l="1"/>
  <c r="E33" i="55" s="1"/>
  <c r="H33" i="55" s="1"/>
  <c r="C34" i="55"/>
  <c r="B32" i="55"/>
  <c r="B33" i="55" l="1"/>
  <c r="D34" i="55"/>
  <c r="E34" i="55" s="1"/>
  <c r="H34" i="55" s="1"/>
  <c r="C35" i="55"/>
  <c r="D35" i="55" l="1"/>
  <c r="E35" i="55" s="1"/>
  <c r="H35" i="55" s="1"/>
  <c r="C36" i="55"/>
  <c r="B34" i="55"/>
  <c r="D36" i="55" l="1"/>
  <c r="E36" i="55" s="1"/>
  <c r="H36" i="55" s="1"/>
  <c r="C37" i="55"/>
  <c r="B35" i="55"/>
  <c r="D37" i="55" l="1"/>
  <c r="E37" i="55" s="1"/>
  <c r="H37" i="55" s="1"/>
  <c r="C38" i="55"/>
  <c r="B36" i="55"/>
  <c r="C39" i="55" l="1"/>
  <c r="D38" i="55"/>
  <c r="E38" i="55" s="1"/>
  <c r="H38" i="55" s="1"/>
  <c r="B37" i="55"/>
  <c r="B38" i="55" l="1"/>
  <c r="C40" i="55"/>
  <c r="D39" i="55"/>
  <c r="E39" i="55" s="1"/>
  <c r="H39" i="55" s="1"/>
  <c r="B39" i="55" l="1"/>
  <c r="D40" i="55"/>
  <c r="E40" i="55" s="1"/>
  <c r="H40" i="55" s="1"/>
  <c r="C41" i="55"/>
  <c r="D41" i="55" l="1"/>
  <c r="E41" i="55" s="1"/>
  <c r="H41" i="55" s="1"/>
  <c r="C42" i="55"/>
  <c r="B40" i="55"/>
  <c r="B41" i="55" l="1"/>
  <c r="D42" i="55"/>
  <c r="E42" i="55" s="1"/>
  <c r="H42" i="55" s="1"/>
  <c r="C43" i="55"/>
  <c r="B42" i="55" l="1"/>
  <c r="D43" i="55"/>
  <c r="E43" i="55" s="1"/>
  <c r="H43" i="55" s="1"/>
  <c r="C44" i="55"/>
  <c r="D44" i="55" l="1"/>
  <c r="E44" i="55" s="1"/>
  <c r="H44" i="55" s="1"/>
  <c r="C45" i="55"/>
  <c r="B43" i="55"/>
  <c r="D45" i="55" l="1"/>
  <c r="E45" i="55" s="1"/>
  <c r="H45" i="55" s="1"/>
  <c r="C46" i="55"/>
  <c r="B44" i="55"/>
  <c r="B45" i="55" l="1"/>
  <c r="C47" i="55"/>
  <c r="D46" i="55"/>
  <c r="E46" i="55" s="1"/>
  <c r="H46" i="55" s="1"/>
  <c r="B46" i="55" l="1"/>
  <c r="C48" i="55"/>
  <c r="D47" i="55"/>
  <c r="E47" i="55" s="1"/>
  <c r="H47" i="55" s="1"/>
  <c r="B47" i="55" l="1"/>
  <c r="D48" i="55"/>
  <c r="E48" i="55" s="1"/>
  <c r="H48" i="55" s="1"/>
  <c r="C49" i="55"/>
  <c r="D49" i="55" l="1"/>
  <c r="E49" i="55" s="1"/>
  <c r="H49" i="55" s="1"/>
  <c r="C50" i="55"/>
  <c r="B48" i="55"/>
  <c r="D50" i="55" l="1"/>
  <c r="E50" i="55" s="1"/>
  <c r="H50" i="55" s="1"/>
  <c r="C51" i="55"/>
  <c r="B49" i="55"/>
  <c r="B50" i="55" l="1"/>
  <c r="D51" i="55"/>
  <c r="E51" i="55" s="1"/>
  <c r="H51" i="55" s="1"/>
  <c r="C52" i="55"/>
  <c r="D52" i="55" l="1"/>
  <c r="E52" i="55" s="1"/>
  <c r="H52" i="55" s="1"/>
  <c r="C53" i="55"/>
  <c r="B51" i="55"/>
  <c r="D53" i="55" l="1"/>
  <c r="E53" i="55" s="1"/>
  <c r="H53" i="55" s="1"/>
  <c r="C54" i="55"/>
  <c r="B52" i="55"/>
  <c r="C55" i="55" l="1"/>
  <c r="D54" i="55"/>
  <c r="E54" i="55" s="1"/>
  <c r="H54" i="55" s="1"/>
  <c r="B53" i="55"/>
  <c r="C56" i="55" l="1"/>
  <c r="D55" i="55"/>
  <c r="E55" i="55" s="1"/>
  <c r="H55" i="55" s="1"/>
  <c r="B54" i="55"/>
  <c r="B55" i="55" l="1"/>
  <c r="D56" i="55"/>
  <c r="E56" i="55" s="1"/>
  <c r="H56" i="55" s="1"/>
  <c r="C57" i="55"/>
  <c r="B56" i="55" l="1"/>
  <c r="D57" i="55"/>
  <c r="E57" i="55" s="1"/>
  <c r="H57" i="55" s="1"/>
  <c r="C58" i="55"/>
  <c r="D58" i="55" l="1"/>
  <c r="E58" i="55" s="1"/>
  <c r="H58" i="55" s="1"/>
  <c r="C59" i="55"/>
  <c r="B57" i="55"/>
  <c r="D59" i="55" l="1"/>
  <c r="E59" i="55" s="1"/>
  <c r="H59" i="55" s="1"/>
  <c r="C60" i="55"/>
  <c r="B58" i="55"/>
  <c r="D60" i="55" l="1"/>
  <c r="E60" i="55" s="1"/>
  <c r="H60" i="55" s="1"/>
  <c r="C61" i="55"/>
  <c r="B59" i="55"/>
  <c r="B60" i="55" l="1"/>
  <c r="D61" i="55"/>
  <c r="E61" i="55" s="1"/>
  <c r="H61" i="55" s="1"/>
  <c r="C62" i="55"/>
  <c r="C63" i="55" l="1"/>
  <c r="D62" i="55"/>
  <c r="E62" i="55" s="1"/>
  <c r="H62" i="55" s="1"/>
  <c r="B61" i="55"/>
  <c r="B62" i="55" l="1"/>
  <c r="C64" i="55"/>
  <c r="D63" i="55"/>
  <c r="E63" i="55" s="1"/>
  <c r="H63" i="55" s="1"/>
  <c r="B63" i="55" l="1"/>
  <c r="D64" i="55"/>
  <c r="E64" i="55" s="1"/>
  <c r="H64" i="55" s="1"/>
  <c r="C65" i="55"/>
  <c r="D65" i="55" l="1"/>
  <c r="E65" i="55" s="1"/>
  <c r="H65" i="55" s="1"/>
  <c r="C66" i="55"/>
  <c r="B64" i="55"/>
  <c r="D66" i="55" l="1"/>
  <c r="E66" i="55" s="1"/>
  <c r="H66" i="55" s="1"/>
  <c r="C67" i="55"/>
  <c r="B65" i="55"/>
  <c r="B66" i="55" l="1"/>
  <c r="D67" i="55"/>
  <c r="E67" i="55" s="1"/>
  <c r="H67" i="55" s="1"/>
  <c r="C68" i="55"/>
  <c r="B67" i="55" l="1"/>
  <c r="D68" i="55"/>
  <c r="E68" i="55" s="1"/>
  <c r="H68" i="55" s="1"/>
  <c r="C69" i="55"/>
  <c r="D69" i="55" l="1"/>
  <c r="E69" i="55" s="1"/>
  <c r="H69" i="55" s="1"/>
  <c r="C70" i="55"/>
  <c r="B68" i="55"/>
  <c r="B69" i="55" l="1"/>
  <c r="C71" i="55"/>
  <c r="D70" i="55"/>
  <c r="E70" i="55" s="1"/>
  <c r="H70" i="55" s="1"/>
  <c r="B70" i="55" l="1"/>
  <c r="C72" i="55"/>
  <c r="D71" i="55"/>
  <c r="E71" i="55" s="1"/>
  <c r="H71" i="55" s="1"/>
  <c r="B71" i="55" l="1"/>
  <c r="D72" i="55"/>
  <c r="E72" i="55" s="1"/>
  <c r="H72" i="55" s="1"/>
  <c r="C73" i="55"/>
  <c r="D73" i="55" l="1"/>
  <c r="E73" i="55" s="1"/>
  <c r="C74" i="55"/>
  <c r="B72" i="55"/>
  <c r="H73" i="55" l="1"/>
  <c r="B73" i="55"/>
  <c r="D74" i="55"/>
  <c r="E74" i="55" s="1"/>
  <c r="H74" i="55" s="1"/>
  <c r="C75" i="55"/>
  <c r="D75" i="55" l="1"/>
  <c r="E75" i="55" s="1"/>
  <c r="H75" i="55" s="1"/>
  <c r="H12" i="54" s="1"/>
  <c r="C76" i="55"/>
  <c r="B74" i="55"/>
  <c r="D5" i="49" l="1"/>
  <c r="A34" i="54"/>
  <c r="I12" i="54"/>
  <c r="J23" i="54" s="1"/>
  <c r="K25" i="54"/>
  <c r="L25" i="54" s="1"/>
  <c r="D76" i="55"/>
  <c r="E76" i="55" s="1"/>
  <c r="H76" i="55" s="1"/>
  <c r="C77" i="55"/>
  <c r="B75" i="55"/>
  <c r="M33" i="54" l="1"/>
  <c r="B34" i="54"/>
  <c r="E34" i="54" s="1"/>
  <c r="C21" i="57" s="1"/>
  <c r="A35" i="54"/>
  <c r="D77" i="55"/>
  <c r="E77" i="55" s="1"/>
  <c r="H77" i="55" s="1"/>
  <c r="C78" i="55"/>
  <c r="B76" i="55"/>
  <c r="C34" i="54" l="1"/>
  <c r="B35" i="54"/>
  <c r="A36" i="54"/>
  <c r="F34" i="54"/>
  <c r="G34" i="54"/>
  <c r="P34" i="54"/>
  <c r="H21" i="57" s="1"/>
  <c r="H34" i="54"/>
  <c r="C79" i="55"/>
  <c r="D78" i="55"/>
  <c r="E78" i="55" s="1"/>
  <c r="H78" i="55" s="1"/>
  <c r="B77" i="55"/>
  <c r="E35" i="54" l="1"/>
  <c r="C22" i="57" s="1"/>
  <c r="B36" i="54"/>
  <c r="A37" i="54"/>
  <c r="H35" i="54"/>
  <c r="G35" i="54"/>
  <c r="F35" i="54"/>
  <c r="P35" i="54"/>
  <c r="H22" i="57" s="1"/>
  <c r="B78" i="55"/>
  <c r="C80" i="55"/>
  <c r="D79" i="55"/>
  <c r="E79" i="55" s="1"/>
  <c r="H79" i="55" s="1"/>
  <c r="A38" i="54" l="1"/>
  <c r="A39" i="54" s="1"/>
  <c r="B37" i="54"/>
  <c r="P36" i="54"/>
  <c r="H23" i="57" s="1"/>
  <c r="H36" i="54"/>
  <c r="G36" i="54"/>
  <c r="F36" i="54"/>
  <c r="D80" i="55"/>
  <c r="E80" i="55" s="1"/>
  <c r="H80" i="55" s="1"/>
  <c r="C81" i="55"/>
  <c r="B79" i="55"/>
  <c r="P37" i="54" l="1"/>
  <c r="H24" i="57" s="1"/>
  <c r="H37" i="54"/>
  <c r="F37" i="54"/>
  <c r="G37" i="54"/>
  <c r="B38" i="54"/>
  <c r="D81" i="55"/>
  <c r="E81" i="55" s="1"/>
  <c r="H81" i="55" s="1"/>
  <c r="C82" i="55"/>
  <c r="B80" i="55"/>
  <c r="G38" i="54" l="1"/>
  <c r="F38" i="54"/>
  <c r="P38" i="54"/>
  <c r="H25" i="57" s="1"/>
  <c r="H38" i="54"/>
  <c r="A40" i="54"/>
  <c r="B39" i="54"/>
  <c r="B81" i="55"/>
  <c r="D82" i="55"/>
  <c r="E82" i="55" s="1"/>
  <c r="H82" i="55" s="1"/>
  <c r="C83" i="55"/>
  <c r="G39" i="54" l="1"/>
  <c r="F39" i="54"/>
  <c r="P39" i="54"/>
  <c r="H26" i="57" s="1"/>
  <c r="H39" i="54"/>
  <c r="A41" i="54"/>
  <c r="B40" i="54"/>
  <c r="D83" i="55"/>
  <c r="E83" i="55" s="1"/>
  <c r="H83" i="55" s="1"/>
  <c r="C84" i="55"/>
  <c r="B82" i="55"/>
  <c r="B41" i="54" l="1"/>
  <c r="A42" i="54"/>
  <c r="G40" i="54"/>
  <c r="P40" i="54"/>
  <c r="H27" i="57" s="1"/>
  <c r="H40" i="54"/>
  <c r="F40" i="54"/>
  <c r="D84" i="55"/>
  <c r="E84" i="55" s="1"/>
  <c r="H84" i="55" s="1"/>
  <c r="C85" i="55"/>
  <c r="B83" i="55"/>
  <c r="B42" i="54" l="1"/>
  <c r="A43" i="54"/>
  <c r="H41" i="54"/>
  <c r="G41" i="54"/>
  <c r="F41" i="54"/>
  <c r="P41" i="54"/>
  <c r="H28" i="57" s="1"/>
  <c r="D85" i="55"/>
  <c r="E85" i="55" s="1"/>
  <c r="H85" i="55" s="1"/>
  <c r="C86" i="55"/>
  <c r="B84" i="55"/>
  <c r="B43" i="54" l="1"/>
  <c r="A44" i="54"/>
  <c r="P42" i="54"/>
  <c r="H29" i="57" s="1"/>
  <c r="H42" i="54"/>
  <c r="G42" i="54"/>
  <c r="F42" i="54"/>
  <c r="C87" i="55"/>
  <c r="D86" i="55"/>
  <c r="E86" i="55" s="1"/>
  <c r="H86" i="55" s="1"/>
  <c r="B85" i="55"/>
  <c r="B44" i="54" l="1"/>
  <c r="A45" i="54"/>
  <c r="F43" i="54"/>
  <c r="P43" i="54"/>
  <c r="H30" i="57" s="1"/>
  <c r="H43" i="54"/>
  <c r="G43" i="54"/>
  <c r="B86" i="55"/>
  <c r="C88" i="55"/>
  <c r="D87" i="55"/>
  <c r="E87" i="55" s="1"/>
  <c r="H87" i="55" s="1"/>
  <c r="A46" i="54" l="1"/>
  <c r="B45" i="54"/>
  <c r="H44" i="54"/>
  <c r="G44" i="54"/>
  <c r="F44" i="54"/>
  <c r="P44" i="54"/>
  <c r="H31" i="57" s="1"/>
  <c r="B87" i="55"/>
  <c r="D88" i="55"/>
  <c r="E88" i="55" s="1"/>
  <c r="H88" i="55" s="1"/>
  <c r="C89" i="55"/>
  <c r="P45" i="54" l="1"/>
  <c r="H32" i="57" s="1"/>
  <c r="H45" i="54"/>
  <c r="F45" i="54"/>
  <c r="G45" i="54"/>
  <c r="A47" i="54"/>
  <c r="B46" i="54"/>
  <c r="D89" i="55"/>
  <c r="E89" i="55" s="1"/>
  <c r="H89" i="55" s="1"/>
  <c r="C90" i="55"/>
  <c r="B88" i="55"/>
  <c r="P46" i="54" l="1"/>
  <c r="H33" i="57" s="1"/>
  <c r="F46" i="54"/>
  <c r="G46" i="54"/>
  <c r="H46" i="54"/>
  <c r="A48" i="54"/>
  <c r="B47" i="54"/>
  <c r="B89" i="55"/>
  <c r="D90" i="55"/>
  <c r="E90" i="55" s="1"/>
  <c r="H90" i="55" s="1"/>
  <c r="C91" i="55"/>
  <c r="G47" i="54" l="1"/>
  <c r="H47" i="54"/>
  <c r="F47" i="54"/>
  <c r="P47" i="54"/>
  <c r="H34" i="57" s="1"/>
  <c r="A49" i="54"/>
  <c r="B48" i="54"/>
  <c r="D91" i="55"/>
  <c r="E91" i="55" s="1"/>
  <c r="H91" i="55" s="1"/>
  <c r="C92" i="55"/>
  <c r="B90" i="55"/>
  <c r="P48" i="54" l="1"/>
  <c r="H35" i="57" s="1"/>
  <c r="F48" i="54"/>
  <c r="H48" i="54"/>
  <c r="G48" i="54"/>
  <c r="A50" i="54"/>
  <c r="B49" i="54"/>
  <c r="D92" i="55"/>
  <c r="E92" i="55" s="1"/>
  <c r="H92" i="55" s="1"/>
  <c r="C93" i="55"/>
  <c r="B91" i="55"/>
  <c r="H49" i="54" l="1"/>
  <c r="G49" i="54"/>
  <c r="F49" i="54"/>
  <c r="P49" i="54"/>
  <c r="H36" i="57" s="1"/>
  <c r="A51" i="54"/>
  <c r="B50" i="54"/>
  <c r="D93" i="55"/>
  <c r="E93" i="55" s="1"/>
  <c r="H93" i="55" s="1"/>
  <c r="C94" i="55"/>
  <c r="B92" i="55"/>
  <c r="H50" i="54" l="1"/>
  <c r="G50" i="54"/>
  <c r="P50" i="54"/>
  <c r="H37" i="57" s="1"/>
  <c r="F50" i="54"/>
  <c r="B51" i="54"/>
  <c r="A52" i="54"/>
  <c r="C95" i="55"/>
  <c r="D94" i="55"/>
  <c r="E94" i="55" s="1"/>
  <c r="H94" i="55" s="1"/>
  <c r="B93" i="55"/>
  <c r="B52" i="54" l="1"/>
  <c r="A53" i="54"/>
  <c r="G51" i="54"/>
  <c r="H51" i="54"/>
  <c r="P51" i="54"/>
  <c r="H38" i="57" s="1"/>
  <c r="F51" i="54"/>
  <c r="B94" i="55"/>
  <c r="C96" i="55"/>
  <c r="D95" i="55"/>
  <c r="E95" i="55" s="1"/>
  <c r="H95" i="55" s="1"/>
  <c r="A54" i="54" l="1"/>
  <c r="B53" i="54"/>
  <c r="P52" i="54"/>
  <c r="H39" i="57" s="1"/>
  <c r="F52" i="54"/>
  <c r="H52" i="54"/>
  <c r="G52" i="54"/>
  <c r="B95" i="55"/>
  <c r="D96" i="55"/>
  <c r="E96" i="55" s="1"/>
  <c r="H96" i="55" s="1"/>
  <c r="C97" i="55"/>
  <c r="F53" i="54" l="1"/>
  <c r="P53" i="54"/>
  <c r="H40" i="57" s="1"/>
  <c r="H53" i="54"/>
  <c r="G53" i="54"/>
  <c r="B54" i="54"/>
  <c r="A55" i="54"/>
  <c r="D97" i="55"/>
  <c r="E97" i="55" s="1"/>
  <c r="H97" i="55" s="1"/>
  <c r="C98" i="55"/>
  <c r="B96" i="55"/>
  <c r="B55" i="54" l="1"/>
  <c r="A56" i="54"/>
  <c r="H54" i="54"/>
  <c r="G54" i="54"/>
  <c r="F54" i="54"/>
  <c r="P54" i="54"/>
  <c r="H41" i="57" s="1"/>
  <c r="D98" i="55"/>
  <c r="E98" i="55" s="1"/>
  <c r="H98" i="55" s="1"/>
  <c r="C99" i="55"/>
  <c r="D99" i="55" s="1"/>
  <c r="E99" i="55" s="1"/>
  <c r="H99" i="55" s="1"/>
  <c r="B97" i="55"/>
  <c r="B56" i="54" l="1"/>
  <c r="A57" i="54"/>
  <c r="H55" i="54"/>
  <c r="F55" i="54"/>
  <c r="P55" i="54"/>
  <c r="H42" i="57" s="1"/>
  <c r="G55" i="54"/>
  <c r="B98" i="55"/>
  <c r="B99" i="55" s="1"/>
  <c r="B57" i="54" l="1"/>
  <c r="A58" i="54"/>
  <c r="H56" i="54"/>
  <c r="G56" i="54"/>
  <c r="F56" i="54"/>
  <c r="P56" i="54"/>
  <c r="H43" i="57" s="1"/>
  <c r="B58" i="54" l="1"/>
  <c r="A59" i="54"/>
  <c r="G57" i="54"/>
  <c r="F57" i="54"/>
  <c r="P57" i="54"/>
  <c r="H44" i="57" s="1"/>
  <c r="H57" i="54"/>
  <c r="B59" i="54" l="1"/>
  <c r="A60" i="54"/>
  <c r="F58" i="54"/>
  <c r="H58" i="54"/>
  <c r="G58" i="54"/>
  <c r="P58" i="54"/>
  <c r="H45" i="57" s="1"/>
  <c r="A61" i="54" l="1"/>
  <c r="B60" i="54"/>
  <c r="H59" i="54"/>
  <c r="P59" i="54"/>
  <c r="H46" i="57" s="1"/>
  <c r="F59" i="54"/>
  <c r="G59" i="54"/>
  <c r="A62" i="54" l="1"/>
  <c r="B61" i="54"/>
  <c r="F60" i="54"/>
  <c r="H60" i="54"/>
  <c r="G60" i="54"/>
  <c r="P60" i="54"/>
  <c r="H47" i="57" s="1"/>
  <c r="F61" i="54" l="1"/>
  <c r="H61" i="54"/>
  <c r="P61" i="54"/>
  <c r="H48" i="57" s="1"/>
  <c r="G61" i="54"/>
  <c r="A63" i="54"/>
  <c r="B62" i="54"/>
  <c r="G62" i="54" l="1"/>
  <c r="P62" i="54"/>
  <c r="H49" i="57" s="1"/>
  <c r="H62" i="54"/>
  <c r="F62" i="54"/>
  <c r="B63" i="54"/>
  <c r="A64" i="54"/>
  <c r="A65" i="54" l="1"/>
  <c r="B64" i="54"/>
  <c r="P63" i="54"/>
  <c r="H50" i="57" s="1"/>
  <c r="H63" i="54"/>
  <c r="F63" i="54"/>
  <c r="G63" i="54"/>
  <c r="P64" i="54" l="1"/>
  <c r="H51" i="57" s="1"/>
  <c r="F64" i="54"/>
  <c r="G64" i="54"/>
  <c r="H64" i="54"/>
  <c r="B65" i="54"/>
  <c r="A66" i="54"/>
  <c r="A67" i="54" l="1"/>
  <c r="B66" i="54"/>
  <c r="G65" i="54"/>
  <c r="F65" i="54"/>
  <c r="P65" i="54"/>
  <c r="H52" i="57" s="1"/>
  <c r="H65" i="54"/>
  <c r="P66" i="54" l="1"/>
  <c r="H53" i="57" s="1"/>
  <c r="H66" i="54"/>
  <c r="F66" i="54"/>
  <c r="G66" i="54"/>
  <c r="B67" i="54"/>
  <c r="A68" i="54"/>
  <c r="B68" i="54" l="1"/>
  <c r="A69" i="54"/>
  <c r="F67" i="54"/>
  <c r="P67" i="54"/>
  <c r="H54" i="57" s="1"/>
  <c r="H67" i="54"/>
  <c r="G67" i="54"/>
  <c r="B69" i="54" l="1"/>
  <c r="A70" i="54"/>
  <c r="H68" i="54"/>
  <c r="P68" i="54"/>
  <c r="H55" i="57" s="1"/>
  <c r="F68" i="54"/>
  <c r="G68" i="54"/>
  <c r="B70" i="54" l="1"/>
  <c r="A71" i="54"/>
  <c r="F69" i="54"/>
  <c r="P69" i="54"/>
  <c r="H56" i="57" s="1"/>
  <c r="H69" i="54"/>
  <c r="G69" i="54"/>
  <c r="A72" i="54" l="1"/>
  <c r="B71" i="54"/>
  <c r="P70" i="54"/>
  <c r="H57" i="57" s="1"/>
  <c r="H70" i="54"/>
  <c r="F70" i="54"/>
  <c r="G70" i="54"/>
  <c r="B72" i="54" l="1"/>
  <c r="A73" i="54"/>
  <c r="P71" i="54"/>
  <c r="H58" i="57" s="1"/>
  <c r="F71" i="54"/>
  <c r="H71" i="54"/>
  <c r="G71" i="54"/>
  <c r="B73" i="54" l="1"/>
  <c r="A74" i="54"/>
  <c r="H72" i="54"/>
  <c r="G72" i="54"/>
  <c r="F72" i="54"/>
  <c r="P72" i="54"/>
  <c r="H59" i="57" s="1"/>
  <c r="A75" i="54" l="1"/>
  <c r="B74" i="54"/>
  <c r="G73" i="54"/>
  <c r="P73" i="54"/>
  <c r="H60" i="57" s="1"/>
  <c r="F73" i="54"/>
  <c r="H73" i="54"/>
  <c r="P74" i="54" l="1"/>
  <c r="H61" i="57" s="1"/>
  <c r="G74" i="54"/>
  <c r="H74" i="54"/>
  <c r="F74" i="54"/>
  <c r="A76" i="54"/>
  <c r="B75" i="54"/>
  <c r="G75" i="54" l="1"/>
  <c r="H75" i="54"/>
  <c r="P75" i="54"/>
  <c r="H62" i="57" s="1"/>
  <c r="F75" i="54"/>
  <c r="A77" i="54"/>
  <c r="B76" i="54"/>
  <c r="A78" i="54" l="1"/>
  <c r="B77" i="54"/>
  <c r="H76" i="54"/>
  <c r="F76" i="54"/>
  <c r="P76" i="54"/>
  <c r="H63" i="57" s="1"/>
  <c r="G76" i="54"/>
  <c r="P77" i="54" l="1"/>
  <c r="H64" i="57" s="1"/>
  <c r="F77" i="54"/>
  <c r="H77" i="54"/>
  <c r="G77" i="54"/>
  <c r="A79" i="54"/>
  <c r="B78" i="54"/>
  <c r="A80" i="54" l="1"/>
  <c r="B79" i="54"/>
  <c r="G78" i="54"/>
  <c r="P78" i="54"/>
  <c r="H65" i="57" s="1"/>
  <c r="H78" i="54"/>
  <c r="F78" i="54"/>
  <c r="G79" i="54" l="1"/>
  <c r="P79" i="54"/>
  <c r="H66" i="57" s="1"/>
  <c r="H79" i="54"/>
  <c r="F79" i="54"/>
  <c r="B80" i="54"/>
  <c r="A81" i="54"/>
  <c r="H80" i="54" l="1"/>
  <c r="G80" i="54"/>
  <c r="P80" i="54"/>
  <c r="H67" i="57" s="1"/>
  <c r="F80" i="54"/>
  <c r="B81" i="54"/>
  <c r="A82" i="54"/>
  <c r="G81" i="54" l="1"/>
  <c r="P81" i="54"/>
  <c r="H68" i="57" s="1"/>
  <c r="H81" i="54"/>
  <c r="F81" i="54"/>
  <c r="A83" i="54"/>
  <c r="B82" i="54"/>
  <c r="B83" i="54" l="1"/>
  <c r="A84" i="54"/>
  <c r="P82" i="54"/>
  <c r="H69" i="57" s="1"/>
  <c r="H82" i="54"/>
  <c r="G82" i="54"/>
  <c r="F82" i="54"/>
  <c r="B84" i="54" l="1"/>
  <c r="A85" i="54"/>
  <c r="F83" i="54"/>
  <c r="G83" i="54"/>
  <c r="P83" i="54"/>
  <c r="H70" i="57" s="1"/>
  <c r="H83" i="54"/>
  <c r="F84" i="54" l="1"/>
  <c r="G84" i="54"/>
  <c r="P84" i="54"/>
  <c r="H71" i="57" s="1"/>
  <c r="H84" i="54"/>
  <c r="A86" i="54"/>
  <c r="B85" i="54"/>
  <c r="P85" i="54" l="1"/>
  <c r="H72" i="57" s="1"/>
  <c r="G85" i="54"/>
  <c r="H85" i="54"/>
  <c r="F85" i="54"/>
  <c r="B86" i="54"/>
  <c r="A87" i="54"/>
  <c r="F86" i="54" l="1"/>
  <c r="G86" i="54"/>
  <c r="H86" i="54"/>
  <c r="P86" i="54"/>
  <c r="H73" i="57" s="1"/>
  <c r="B87" i="54"/>
  <c r="A88" i="54"/>
  <c r="P87" i="54" l="1"/>
  <c r="H74" i="57" s="1"/>
  <c r="H87" i="54"/>
  <c r="G87" i="54"/>
  <c r="F87" i="54"/>
  <c r="A89" i="54"/>
  <c r="B88" i="54"/>
  <c r="F88" i="54" l="1"/>
  <c r="H88" i="54"/>
  <c r="G88" i="54"/>
  <c r="P88" i="54"/>
  <c r="H75" i="57" s="1"/>
  <c r="B89" i="54"/>
  <c r="A90" i="54"/>
  <c r="B90" i="54" l="1"/>
  <c r="A91" i="54"/>
  <c r="F89" i="54"/>
  <c r="G89" i="54"/>
  <c r="H89" i="54"/>
  <c r="P89" i="54"/>
  <c r="H76" i="57" s="1"/>
  <c r="A92" i="54" l="1"/>
  <c r="B91" i="54"/>
  <c r="G90" i="54"/>
  <c r="F90" i="54"/>
  <c r="P90" i="54"/>
  <c r="H77" i="57" s="1"/>
  <c r="H90" i="54"/>
  <c r="G91" i="54" l="1"/>
  <c r="F91" i="54"/>
  <c r="P91" i="54"/>
  <c r="H78" i="57" s="1"/>
  <c r="H91" i="54"/>
  <c r="B92" i="54"/>
  <c r="A93" i="54"/>
  <c r="B93" i="54" l="1"/>
  <c r="A94" i="54"/>
  <c r="P92" i="54"/>
  <c r="H79" i="57" s="1"/>
  <c r="F92" i="54"/>
  <c r="H92" i="54"/>
  <c r="G92" i="54"/>
  <c r="B94" i="54" l="1"/>
  <c r="A95" i="54"/>
  <c r="F93" i="54"/>
  <c r="H93" i="54"/>
  <c r="P93" i="54"/>
  <c r="H80" i="57" s="1"/>
  <c r="G93" i="54"/>
  <c r="A96" i="54" l="1"/>
  <c r="B95" i="54"/>
  <c r="G94" i="54"/>
  <c r="F94" i="54"/>
  <c r="H94" i="54"/>
  <c r="P94" i="54"/>
  <c r="H81" i="57" s="1"/>
  <c r="P95" i="54" l="1"/>
  <c r="H82" i="57" s="1"/>
  <c r="H95" i="54"/>
  <c r="G95" i="54"/>
  <c r="F95" i="54"/>
  <c r="B96" i="54"/>
  <c r="A97" i="54"/>
  <c r="A98" i="54" l="1"/>
  <c r="B97" i="54"/>
  <c r="P96" i="54"/>
  <c r="H83" i="57" s="1"/>
  <c r="H96" i="54"/>
  <c r="G96" i="54"/>
  <c r="F96" i="54"/>
  <c r="F97" i="54" l="1"/>
  <c r="G97" i="54"/>
  <c r="P97" i="54"/>
  <c r="H84" i="57" s="1"/>
  <c r="H97" i="54"/>
  <c r="A99" i="54"/>
  <c r="B98" i="54"/>
  <c r="B99" i="54" l="1"/>
  <c r="A100" i="54"/>
  <c r="P98" i="54"/>
  <c r="H85" i="57" s="1"/>
  <c r="H98" i="54"/>
  <c r="G98" i="54"/>
  <c r="F98" i="54"/>
  <c r="B100" i="54" l="1"/>
  <c r="A101" i="54"/>
  <c r="P99" i="54"/>
  <c r="H86" i="57" s="1"/>
  <c r="H99" i="54"/>
  <c r="F99" i="54"/>
  <c r="G99" i="54"/>
  <c r="H100" i="54" l="1"/>
  <c r="G100" i="54"/>
  <c r="F100" i="54"/>
  <c r="P100" i="54"/>
  <c r="H87" i="57" s="1"/>
  <c r="B101" i="54"/>
  <c r="A102" i="54"/>
  <c r="P101" i="54" l="1"/>
  <c r="H88" i="57" s="1"/>
  <c r="G101" i="54"/>
  <c r="F101" i="54"/>
  <c r="H101" i="54"/>
  <c r="A103" i="54"/>
  <c r="B102" i="54"/>
  <c r="P102" i="54" l="1"/>
  <c r="H89" i="57" s="1"/>
  <c r="H102" i="54"/>
  <c r="G102" i="54"/>
  <c r="F102" i="54"/>
  <c r="A104" i="54"/>
  <c r="B104" i="54" s="1"/>
  <c r="B103" i="54"/>
  <c r="P103" i="54" l="1"/>
  <c r="H90" i="57" s="1"/>
  <c r="H103" i="54"/>
  <c r="G103" i="54"/>
  <c r="F103" i="54"/>
  <c r="F104" i="54" s="1"/>
  <c r="P104" i="54"/>
  <c r="H91" i="57" s="1"/>
  <c r="H104" i="54"/>
  <c r="G104" i="54"/>
  <c r="A5" i="53" l="1"/>
  <c r="A6" i="53" s="1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A42" i="53" s="1"/>
  <c r="A43" i="53" s="1"/>
  <c r="A44" i="53" s="1"/>
  <c r="A45" i="53" s="1"/>
  <c r="A46" i="53" s="1"/>
  <c r="A47" i="53" s="1"/>
  <c r="A48" i="53" s="1"/>
  <c r="A49" i="53" s="1"/>
  <c r="A50" i="53" s="1"/>
  <c r="A51" i="53" s="1"/>
  <c r="A52" i="53" s="1"/>
  <c r="A53" i="53" s="1"/>
  <c r="A54" i="53" s="1"/>
  <c r="A55" i="53" s="1"/>
  <c r="A56" i="53" s="1"/>
  <c r="A57" i="53" s="1"/>
  <c r="A58" i="53" s="1"/>
  <c r="A59" i="53" s="1"/>
  <c r="A60" i="53" s="1"/>
  <c r="A61" i="53" s="1"/>
  <c r="A62" i="53" s="1"/>
  <c r="A63" i="53" s="1"/>
  <c r="A64" i="53" s="1"/>
  <c r="A65" i="53" s="1"/>
  <c r="A66" i="53" s="1"/>
  <c r="A67" i="53" s="1"/>
  <c r="A68" i="53" s="1"/>
  <c r="A69" i="53" s="1"/>
  <c r="A70" i="53" s="1"/>
  <c r="A71" i="53" s="1"/>
  <c r="A72" i="53" s="1"/>
  <c r="A73" i="53" s="1"/>
  <c r="A74" i="53" s="1"/>
  <c r="A75" i="53" s="1"/>
  <c r="A76" i="53" s="1"/>
  <c r="A77" i="53" s="1"/>
  <c r="A78" i="53" s="1"/>
  <c r="A79" i="53" s="1"/>
  <c r="A80" i="53" s="1"/>
  <c r="A81" i="53" s="1"/>
  <c r="A82" i="53" s="1"/>
  <c r="A83" i="53" s="1"/>
  <c r="A84" i="53" s="1"/>
  <c r="A85" i="53" s="1"/>
  <c r="A86" i="53" s="1"/>
  <c r="A87" i="53" s="1"/>
  <c r="A88" i="53" s="1"/>
  <c r="A89" i="53" s="1"/>
  <c r="A90" i="53" s="1"/>
  <c r="A91" i="53" s="1"/>
  <c r="A92" i="53" s="1"/>
  <c r="A93" i="53" s="1"/>
  <c r="A94" i="53" s="1"/>
  <c r="A95" i="53" s="1"/>
  <c r="A96" i="53" s="1"/>
  <c r="A97" i="53" s="1"/>
  <c r="A98" i="53" s="1"/>
  <c r="A99" i="53" s="1"/>
  <c r="G55" i="52"/>
  <c r="F55" i="52"/>
  <c r="G54" i="52"/>
  <c r="F54" i="52"/>
  <c r="G53" i="52"/>
  <c r="F53" i="52"/>
  <c r="G52" i="52"/>
  <c r="F52" i="52"/>
  <c r="G51" i="52"/>
  <c r="F51" i="52"/>
  <c r="G50" i="52"/>
  <c r="F50" i="52"/>
  <c r="G49" i="52"/>
  <c r="F49" i="52"/>
  <c r="G48" i="52"/>
  <c r="F48" i="52"/>
  <c r="G47" i="52"/>
  <c r="F47" i="52"/>
  <c r="G46" i="52"/>
  <c r="F46" i="52"/>
  <c r="G45" i="52"/>
  <c r="F45" i="52"/>
  <c r="G44" i="52"/>
  <c r="F44" i="52"/>
  <c r="G43" i="52"/>
  <c r="F43" i="52"/>
  <c r="G42" i="52"/>
  <c r="F42" i="52"/>
  <c r="G41" i="52"/>
  <c r="F41" i="52"/>
  <c r="G40" i="52"/>
  <c r="F40" i="52"/>
  <c r="G39" i="52"/>
  <c r="F39" i="52"/>
  <c r="G38" i="52"/>
  <c r="F38" i="52"/>
  <c r="G37" i="52"/>
  <c r="F37" i="52"/>
  <c r="G36" i="52"/>
  <c r="F36" i="52"/>
  <c r="G35" i="52"/>
  <c r="F35" i="52"/>
  <c r="G34" i="52"/>
  <c r="F34" i="52"/>
  <c r="G33" i="52"/>
  <c r="F33" i="52"/>
  <c r="G32" i="52"/>
  <c r="F32" i="52"/>
  <c r="E32" i="52"/>
  <c r="I26" i="52"/>
  <c r="I25" i="52"/>
  <c r="S21" i="52"/>
  <c r="P18" i="52"/>
  <c r="P15" i="52"/>
  <c r="P16" i="52" s="1"/>
  <c r="P11" i="52"/>
  <c r="I8" i="52"/>
  <c r="P6" i="52"/>
  <c r="O32" i="52" l="1"/>
  <c r="O44" i="52"/>
  <c r="O34" i="52"/>
  <c r="O41" i="52"/>
  <c r="O39" i="52"/>
  <c r="O33" i="52"/>
  <c r="O54" i="52"/>
  <c r="X32" i="52"/>
  <c r="O46" i="52"/>
  <c r="E33" i="52"/>
  <c r="I32" i="52"/>
  <c r="P7" i="52"/>
  <c r="O49" i="52"/>
  <c r="O48" i="52"/>
  <c r="O47" i="52"/>
  <c r="O45" i="52"/>
  <c r="O36" i="52"/>
  <c r="O50" i="52"/>
  <c r="O55" i="52"/>
  <c r="O53" i="52"/>
  <c r="O38" i="52"/>
  <c r="O51" i="52"/>
  <c r="O43" i="52"/>
  <c r="O35" i="52"/>
  <c r="O40" i="52"/>
  <c r="O52" i="52"/>
  <c r="O37" i="52"/>
  <c r="O42" i="52"/>
  <c r="E34" i="52" l="1"/>
  <c r="E35" i="52" s="1"/>
  <c r="E36" i="52" s="1"/>
  <c r="E37" i="52" s="1"/>
  <c r="E38" i="52" s="1"/>
  <c r="E39" i="52" s="1"/>
  <c r="E40" i="52" s="1"/>
  <c r="E41" i="52" s="1"/>
  <c r="E42" i="52" s="1"/>
  <c r="E43" i="52" s="1"/>
  <c r="E44" i="52" s="1"/>
  <c r="E45" i="52" s="1"/>
  <c r="E46" i="52" s="1"/>
  <c r="E47" i="52" s="1"/>
  <c r="E48" i="52" s="1"/>
  <c r="E49" i="52" s="1"/>
  <c r="E50" i="52" s="1"/>
  <c r="E51" i="52" s="1"/>
  <c r="E52" i="52" s="1"/>
  <c r="E53" i="52" s="1"/>
  <c r="E54" i="52" s="1"/>
  <c r="E55" i="52" s="1"/>
  <c r="C4" i="53"/>
  <c r="D32" i="52"/>
  <c r="T32" i="52" l="1"/>
  <c r="P32" i="52" s="1"/>
  <c r="C32" i="52"/>
  <c r="D4" i="53"/>
  <c r="E4" i="53" s="1"/>
  <c r="C5" i="53"/>
  <c r="B4" i="53" l="1"/>
  <c r="H4" i="53"/>
  <c r="D5" i="53"/>
  <c r="E5" i="53" s="1"/>
  <c r="C6" i="53"/>
  <c r="H32" i="52"/>
  <c r="D33" i="52"/>
  <c r="H5" i="53" l="1"/>
  <c r="Z32" i="52"/>
  <c r="V32" i="52"/>
  <c r="D6" i="53"/>
  <c r="E6" i="53" s="1"/>
  <c r="C7" i="53"/>
  <c r="B5" i="53"/>
  <c r="T33" i="52"/>
  <c r="P33" i="52" s="1"/>
  <c r="C33" i="52"/>
  <c r="H6" i="53" l="1"/>
  <c r="D7" i="53"/>
  <c r="E7" i="53" s="1"/>
  <c r="C8" i="53"/>
  <c r="B6" i="53"/>
  <c r="W32" i="52"/>
  <c r="H33" i="52"/>
  <c r="D34" i="52"/>
  <c r="H7" i="53" l="1"/>
  <c r="B7" i="53"/>
  <c r="V33" i="52"/>
  <c r="T34" i="52"/>
  <c r="P34" i="52" s="1"/>
  <c r="C34" i="52"/>
  <c r="C9" i="53"/>
  <c r="D8" i="53"/>
  <c r="E8" i="53" s="1"/>
  <c r="H8" i="53" l="1"/>
  <c r="C10" i="53"/>
  <c r="D9" i="53"/>
  <c r="E9" i="53" s="1"/>
  <c r="H34" i="52"/>
  <c r="V34" i="52" s="1"/>
  <c r="D35" i="52"/>
  <c r="W33" i="52"/>
  <c r="B8" i="53"/>
  <c r="H9" i="53" l="1"/>
  <c r="B9" i="53"/>
  <c r="W34" i="52"/>
  <c r="T35" i="52"/>
  <c r="P35" i="52" s="1"/>
  <c r="C35" i="52"/>
  <c r="D10" i="53"/>
  <c r="E10" i="53" s="1"/>
  <c r="C11" i="53"/>
  <c r="H10" i="53" l="1"/>
  <c r="B10" i="53"/>
  <c r="D11" i="53"/>
  <c r="E11" i="53" s="1"/>
  <c r="H11" i="53" s="1"/>
  <c r="C12" i="53"/>
  <c r="H35" i="52"/>
  <c r="D36" i="52"/>
  <c r="T36" i="52" l="1"/>
  <c r="P36" i="52" s="1"/>
  <c r="C36" i="52"/>
  <c r="V35" i="52"/>
  <c r="B11" i="53"/>
  <c r="D12" i="53"/>
  <c r="E12" i="53" s="1"/>
  <c r="H12" i="53" s="1"/>
  <c r="C13" i="53"/>
  <c r="B12" i="53" l="1"/>
  <c r="D13" i="53"/>
  <c r="E13" i="53" s="1"/>
  <c r="H13" i="53" s="1"/>
  <c r="C14" i="53"/>
  <c r="W35" i="52"/>
  <c r="D37" i="52"/>
  <c r="H36" i="52"/>
  <c r="V36" i="52" s="1"/>
  <c r="W36" i="52" l="1"/>
  <c r="T37" i="52"/>
  <c r="P37" i="52" s="1"/>
  <c r="C37" i="52"/>
  <c r="D14" i="53"/>
  <c r="E14" i="53" s="1"/>
  <c r="H14" i="53" s="1"/>
  <c r="C15" i="53"/>
  <c r="B13" i="53"/>
  <c r="B14" i="53" l="1"/>
  <c r="H37" i="52"/>
  <c r="D38" i="52"/>
  <c r="D15" i="53"/>
  <c r="E15" i="53" s="1"/>
  <c r="H15" i="53" s="1"/>
  <c r="C16" i="53"/>
  <c r="C17" i="53" l="1"/>
  <c r="D16" i="53"/>
  <c r="E16" i="53" s="1"/>
  <c r="H16" i="53" s="1"/>
  <c r="T38" i="52"/>
  <c r="P38" i="52" s="1"/>
  <c r="C38" i="52"/>
  <c r="V37" i="52"/>
  <c r="B15" i="53"/>
  <c r="W37" i="52" l="1"/>
  <c r="D39" i="52"/>
  <c r="H38" i="52"/>
  <c r="B16" i="53"/>
  <c r="C18" i="53"/>
  <c r="D17" i="53"/>
  <c r="E17" i="53" s="1"/>
  <c r="H17" i="53" s="1"/>
  <c r="T39" i="52" l="1"/>
  <c r="P39" i="52" s="1"/>
  <c r="C39" i="52"/>
  <c r="B17" i="53"/>
  <c r="D18" i="53"/>
  <c r="E18" i="53" s="1"/>
  <c r="H18" i="53" s="1"/>
  <c r="C19" i="53"/>
  <c r="V38" i="52"/>
  <c r="D19" i="53" l="1"/>
  <c r="E19" i="53" s="1"/>
  <c r="H19" i="53" s="1"/>
  <c r="C20" i="53"/>
  <c r="B18" i="53"/>
  <c r="H39" i="52"/>
  <c r="V39" i="52" s="1"/>
  <c r="D40" i="52"/>
  <c r="W38" i="52"/>
  <c r="T40" i="52" l="1"/>
  <c r="P40" i="52" s="1"/>
  <c r="C40" i="52"/>
  <c r="W39" i="52"/>
  <c r="D20" i="53"/>
  <c r="E20" i="53" s="1"/>
  <c r="H20" i="53" s="1"/>
  <c r="C21" i="53"/>
  <c r="B19" i="53"/>
  <c r="B20" i="53" l="1"/>
  <c r="H40" i="52"/>
  <c r="D41" i="52"/>
  <c r="D21" i="53"/>
  <c r="E21" i="53" s="1"/>
  <c r="H21" i="53" s="1"/>
  <c r="C22" i="53"/>
  <c r="V40" i="52" l="1"/>
  <c r="C41" i="52"/>
  <c r="T41" i="52"/>
  <c r="P41" i="52" s="1"/>
  <c r="D22" i="53"/>
  <c r="E22" i="53" s="1"/>
  <c r="H22" i="53" s="1"/>
  <c r="C23" i="53"/>
  <c r="B21" i="53"/>
  <c r="H41" i="52" l="1"/>
  <c r="V41" i="52" s="1"/>
  <c r="D42" i="52"/>
  <c r="D23" i="53"/>
  <c r="E23" i="53" s="1"/>
  <c r="H23" i="53" s="1"/>
  <c r="C24" i="53"/>
  <c r="W40" i="52"/>
  <c r="B22" i="53"/>
  <c r="C25" i="53" l="1"/>
  <c r="D24" i="53"/>
  <c r="E24" i="53" s="1"/>
  <c r="H24" i="53" s="1"/>
  <c r="B23" i="53"/>
  <c r="T42" i="52"/>
  <c r="P42" i="52" s="1"/>
  <c r="C42" i="52"/>
  <c r="W41" i="52"/>
  <c r="D43" i="52" l="1"/>
  <c r="H42" i="52"/>
  <c r="B24" i="53"/>
  <c r="C26" i="53"/>
  <c r="D25" i="53"/>
  <c r="E25" i="53" s="1"/>
  <c r="H25" i="53" s="1"/>
  <c r="D26" i="53" l="1"/>
  <c r="E26" i="53" s="1"/>
  <c r="H26" i="53" s="1"/>
  <c r="C27" i="53"/>
  <c r="B25" i="53"/>
  <c r="V42" i="52"/>
  <c r="C43" i="52"/>
  <c r="T43" i="52"/>
  <c r="P43" i="52" s="1"/>
  <c r="H43" i="52" l="1"/>
  <c r="V43" i="52" s="1"/>
  <c r="D44" i="52"/>
  <c r="W42" i="52"/>
  <c r="D27" i="53"/>
  <c r="E27" i="53" s="1"/>
  <c r="H27" i="53" s="1"/>
  <c r="C28" i="53"/>
  <c r="B26" i="53"/>
  <c r="B27" i="53" l="1"/>
  <c r="D28" i="53"/>
  <c r="E28" i="53" s="1"/>
  <c r="H28" i="53" s="1"/>
  <c r="C29" i="53"/>
  <c r="T44" i="52"/>
  <c r="P44" i="52" s="1"/>
  <c r="C44" i="52"/>
  <c r="W43" i="52"/>
  <c r="H44" i="52" l="1"/>
  <c r="D45" i="52"/>
  <c r="D29" i="53"/>
  <c r="E29" i="53" s="1"/>
  <c r="H29" i="53" s="1"/>
  <c r="C30" i="53"/>
  <c r="B28" i="53"/>
  <c r="B29" i="53" l="1"/>
  <c r="T45" i="52"/>
  <c r="P45" i="52" s="1"/>
  <c r="C45" i="52"/>
  <c r="D30" i="53"/>
  <c r="E30" i="53" s="1"/>
  <c r="H30" i="53" s="1"/>
  <c r="C31" i="53"/>
  <c r="V44" i="52"/>
  <c r="H45" i="52" l="1"/>
  <c r="V45" i="52" s="1"/>
  <c r="D46" i="52"/>
  <c r="B30" i="53"/>
  <c r="D31" i="53"/>
  <c r="E31" i="53" s="1"/>
  <c r="H31" i="53" s="1"/>
  <c r="C32" i="53"/>
  <c r="W44" i="52"/>
  <c r="B31" i="53" l="1"/>
  <c r="W45" i="52"/>
  <c r="T46" i="52"/>
  <c r="P46" i="52" s="1"/>
  <c r="C46" i="52"/>
  <c r="C33" i="53"/>
  <c r="D32" i="53"/>
  <c r="E32" i="53" s="1"/>
  <c r="H32" i="53" s="1"/>
  <c r="H46" i="52" l="1"/>
  <c r="D47" i="52"/>
  <c r="B32" i="53"/>
  <c r="C34" i="53"/>
  <c r="D33" i="53"/>
  <c r="E33" i="53" s="1"/>
  <c r="H33" i="53" s="1"/>
  <c r="D34" i="53" l="1"/>
  <c r="E34" i="53" s="1"/>
  <c r="H34" i="53" s="1"/>
  <c r="C35" i="53"/>
  <c r="V46" i="52"/>
  <c r="B33" i="53"/>
  <c r="T47" i="52"/>
  <c r="P47" i="52" s="1"/>
  <c r="C47" i="52"/>
  <c r="W46" i="52" l="1"/>
  <c r="D35" i="53"/>
  <c r="E35" i="53" s="1"/>
  <c r="H35" i="53" s="1"/>
  <c r="C36" i="53"/>
  <c r="B34" i="53"/>
  <c r="H47" i="52"/>
  <c r="D48" i="52"/>
  <c r="V47" i="52" l="1"/>
  <c r="D36" i="53"/>
  <c r="E36" i="53" s="1"/>
  <c r="H36" i="53" s="1"/>
  <c r="C37" i="53"/>
  <c r="B35" i="53"/>
  <c r="C48" i="52"/>
  <c r="T48" i="52"/>
  <c r="P48" i="52" s="1"/>
  <c r="D37" i="53" l="1"/>
  <c r="E37" i="53" s="1"/>
  <c r="H37" i="53" s="1"/>
  <c r="C38" i="53"/>
  <c r="B36" i="53"/>
  <c r="W47" i="52"/>
  <c r="D49" i="52"/>
  <c r="H48" i="52"/>
  <c r="V48" i="52" s="1"/>
  <c r="W48" i="52" l="1"/>
  <c r="D38" i="53"/>
  <c r="E38" i="53" s="1"/>
  <c r="H38" i="53" s="1"/>
  <c r="C39" i="53"/>
  <c r="B37" i="53"/>
  <c r="T49" i="52"/>
  <c r="P49" i="52" s="1"/>
  <c r="C49" i="52"/>
  <c r="D39" i="53" l="1"/>
  <c r="E39" i="53" s="1"/>
  <c r="H39" i="53" s="1"/>
  <c r="C40" i="53"/>
  <c r="B38" i="53"/>
  <c r="D50" i="52"/>
  <c r="H49" i="52"/>
  <c r="T50" i="52" l="1"/>
  <c r="P50" i="52" s="1"/>
  <c r="C50" i="52"/>
  <c r="V49" i="52"/>
  <c r="C41" i="53"/>
  <c r="D40" i="53"/>
  <c r="E40" i="53" s="1"/>
  <c r="H40" i="53" s="1"/>
  <c r="B39" i="53"/>
  <c r="C42" i="53" l="1"/>
  <c r="D41" i="53"/>
  <c r="E41" i="53" s="1"/>
  <c r="H41" i="53" s="1"/>
  <c r="W49" i="52"/>
  <c r="B40" i="53"/>
  <c r="H50" i="52"/>
  <c r="D51" i="52"/>
  <c r="T51" i="52" l="1"/>
  <c r="P51" i="52" s="1"/>
  <c r="C51" i="52"/>
  <c r="V50" i="52"/>
  <c r="B41" i="53"/>
  <c r="D42" i="53"/>
  <c r="E42" i="53" s="1"/>
  <c r="H42" i="53" s="1"/>
  <c r="C43" i="53"/>
  <c r="W50" i="52" l="1"/>
  <c r="D52" i="52"/>
  <c r="H51" i="52"/>
  <c r="D43" i="53"/>
  <c r="E43" i="53" s="1"/>
  <c r="H43" i="53" s="1"/>
  <c r="C44" i="53"/>
  <c r="B42" i="53"/>
  <c r="T52" i="52" l="1"/>
  <c r="P52" i="52" s="1"/>
  <c r="C52" i="52"/>
  <c r="D44" i="53"/>
  <c r="E44" i="53" s="1"/>
  <c r="H44" i="53" s="1"/>
  <c r="C45" i="53"/>
  <c r="V51" i="52"/>
  <c r="B43" i="53"/>
  <c r="D45" i="53" l="1"/>
  <c r="E45" i="53" s="1"/>
  <c r="H45" i="53" s="1"/>
  <c r="C46" i="53"/>
  <c r="B44" i="53"/>
  <c r="H52" i="52"/>
  <c r="V52" i="52" s="1"/>
  <c r="D53" i="52"/>
  <c r="W51" i="52"/>
  <c r="D46" i="53" l="1"/>
  <c r="E46" i="53" s="1"/>
  <c r="H46" i="53" s="1"/>
  <c r="C47" i="53"/>
  <c r="B45" i="53"/>
  <c r="T53" i="52"/>
  <c r="P53" i="52" s="1"/>
  <c r="C53" i="52"/>
  <c r="W52" i="52"/>
  <c r="H53" i="52" l="1"/>
  <c r="D54" i="52"/>
  <c r="D47" i="53"/>
  <c r="E47" i="53" s="1"/>
  <c r="H47" i="53" s="1"/>
  <c r="C48" i="53"/>
  <c r="B46" i="53"/>
  <c r="B47" i="53" l="1"/>
  <c r="T54" i="52"/>
  <c r="P54" i="52" s="1"/>
  <c r="C54" i="52"/>
  <c r="C49" i="53"/>
  <c r="D48" i="53"/>
  <c r="E48" i="53" s="1"/>
  <c r="H48" i="53" s="1"/>
  <c r="V53" i="52"/>
  <c r="C50" i="53" l="1"/>
  <c r="D49" i="53"/>
  <c r="E49" i="53" s="1"/>
  <c r="H49" i="53" s="1"/>
  <c r="H54" i="52"/>
  <c r="D55" i="52"/>
  <c r="B48" i="53"/>
  <c r="W53" i="52"/>
  <c r="T55" i="52" l="1"/>
  <c r="P55" i="52" s="1"/>
  <c r="C55" i="52"/>
  <c r="V54" i="52"/>
  <c r="B49" i="53"/>
  <c r="D50" i="53"/>
  <c r="E50" i="53" s="1"/>
  <c r="H50" i="53" s="1"/>
  <c r="C51" i="53"/>
  <c r="D51" i="53" l="1"/>
  <c r="E51" i="53" s="1"/>
  <c r="H51" i="53" s="1"/>
  <c r="C52" i="53"/>
  <c r="W54" i="52"/>
  <c r="H55" i="52"/>
  <c r="V55" i="52" s="1"/>
  <c r="B50" i="53"/>
  <c r="W55" i="52" l="1"/>
  <c r="D52" i="53"/>
  <c r="E52" i="53" s="1"/>
  <c r="H52" i="53" s="1"/>
  <c r="C53" i="53"/>
  <c r="B51" i="53"/>
  <c r="B52" i="53" l="1"/>
  <c r="D53" i="53"/>
  <c r="E53" i="53" s="1"/>
  <c r="H53" i="53" s="1"/>
  <c r="C54" i="53"/>
  <c r="D54" i="53" l="1"/>
  <c r="E54" i="53" s="1"/>
  <c r="H54" i="53" s="1"/>
  <c r="C55" i="53"/>
  <c r="B53" i="53"/>
  <c r="B54" i="53" l="1"/>
  <c r="D55" i="53"/>
  <c r="E55" i="53" s="1"/>
  <c r="H55" i="53" s="1"/>
  <c r="C56" i="53"/>
  <c r="C57" i="53" l="1"/>
  <c r="D56" i="53"/>
  <c r="E56" i="53" s="1"/>
  <c r="H56" i="53" s="1"/>
  <c r="B55" i="53"/>
  <c r="B56" i="53" l="1"/>
  <c r="C58" i="53"/>
  <c r="D57" i="53"/>
  <c r="E57" i="53" s="1"/>
  <c r="H57" i="53" s="1"/>
  <c r="B57" i="53" l="1"/>
  <c r="D58" i="53"/>
  <c r="E58" i="53" s="1"/>
  <c r="H58" i="53" s="1"/>
  <c r="C59" i="53"/>
  <c r="D59" i="53" l="1"/>
  <c r="E59" i="53" s="1"/>
  <c r="H59" i="53" s="1"/>
  <c r="C60" i="53"/>
  <c r="B58" i="53"/>
  <c r="D60" i="53" l="1"/>
  <c r="E60" i="53" s="1"/>
  <c r="H60" i="53" s="1"/>
  <c r="C61" i="53"/>
  <c r="B59" i="53"/>
  <c r="B60" i="53" l="1"/>
  <c r="D61" i="53"/>
  <c r="E61" i="53" s="1"/>
  <c r="H61" i="53" s="1"/>
  <c r="C62" i="53"/>
  <c r="D62" i="53" l="1"/>
  <c r="E62" i="53" s="1"/>
  <c r="H62" i="53" s="1"/>
  <c r="C63" i="53"/>
  <c r="B61" i="53"/>
  <c r="D63" i="53" l="1"/>
  <c r="E63" i="53" s="1"/>
  <c r="H63" i="53" s="1"/>
  <c r="C64" i="53"/>
  <c r="B62" i="53"/>
  <c r="C65" i="53" l="1"/>
  <c r="D64" i="53"/>
  <c r="E64" i="53" s="1"/>
  <c r="H64" i="53" s="1"/>
  <c r="B63" i="53"/>
  <c r="C66" i="53" l="1"/>
  <c r="D65" i="53"/>
  <c r="E65" i="53" s="1"/>
  <c r="H65" i="53" s="1"/>
  <c r="B64" i="53"/>
  <c r="D66" i="53" l="1"/>
  <c r="E66" i="53" s="1"/>
  <c r="H66" i="53" s="1"/>
  <c r="C67" i="53"/>
  <c r="B65" i="53"/>
  <c r="D67" i="53" l="1"/>
  <c r="E67" i="53" s="1"/>
  <c r="H67" i="53" s="1"/>
  <c r="C68" i="53"/>
  <c r="B66" i="53"/>
  <c r="D68" i="53" l="1"/>
  <c r="E68" i="53" s="1"/>
  <c r="H68" i="53" s="1"/>
  <c r="C69" i="53"/>
  <c r="B67" i="53"/>
  <c r="D69" i="53" l="1"/>
  <c r="E69" i="53" s="1"/>
  <c r="H69" i="53" s="1"/>
  <c r="C70" i="53"/>
  <c r="B68" i="53"/>
  <c r="C71" i="53" l="1"/>
  <c r="D70" i="53"/>
  <c r="E70" i="53" s="1"/>
  <c r="H70" i="53" s="1"/>
  <c r="B69" i="53"/>
  <c r="C72" i="53" l="1"/>
  <c r="D71" i="53"/>
  <c r="E71" i="53" s="1"/>
  <c r="H71" i="53" s="1"/>
  <c r="B70" i="53"/>
  <c r="B71" i="53" l="1"/>
  <c r="D72" i="53"/>
  <c r="E72" i="53" s="1"/>
  <c r="H72" i="53" s="1"/>
  <c r="C73" i="53"/>
  <c r="D73" i="53" l="1"/>
  <c r="E73" i="53" s="1"/>
  <c r="H73" i="53" s="1"/>
  <c r="C74" i="53"/>
  <c r="B72" i="53"/>
  <c r="D74" i="53" l="1"/>
  <c r="E74" i="53" s="1"/>
  <c r="H74" i="53" s="1"/>
  <c r="C75" i="53"/>
  <c r="B73" i="53"/>
  <c r="D75" i="53" l="1"/>
  <c r="E75" i="53" s="1"/>
  <c r="H75" i="53" s="1"/>
  <c r="G12" i="52" s="1"/>
  <c r="C76" i="53"/>
  <c r="B74" i="53"/>
  <c r="H12" i="52" l="1"/>
  <c r="I23" i="52" s="1"/>
  <c r="A33" i="52"/>
  <c r="J25" i="52"/>
  <c r="K25" i="52" s="1"/>
  <c r="D76" i="53"/>
  <c r="E76" i="53" s="1"/>
  <c r="H76" i="53" s="1"/>
  <c r="C77" i="53"/>
  <c r="B75" i="53"/>
  <c r="A34" i="52" l="1"/>
  <c r="B33" i="52"/>
  <c r="L32" i="52"/>
  <c r="L33" i="52"/>
  <c r="L34" i="52"/>
  <c r="L35" i="52"/>
  <c r="L36" i="52"/>
  <c r="L37" i="52"/>
  <c r="L38" i="52"/>
  <c r="L39" i="52"/>
  <c r="L40" i="52"/>
  <c r="L41" i="52"/>
  <c r="L42" i="52"/>
  <c r="L43" i="52"/>
  <c r="L44" i="52"/>
  <c r="L45" i="52"/>
  <c r="L46" i="52"/>
  <c r="L47" i="52"/>
  <c r="L48" i="52"/>
  <c r="L49" i="52"/>
  <c r="L50" i="52"/>
  <c r="L51" i="52"/>
  <c r="L52" i="52"/>
  <c r="L53" i="52"/>
  <c r="L54" i="52"/>
  <c r="L55" i="52"/>
  <c r="B76" i="53"/>
  <c r="D77" i="53"/>
  <c r="E77" i="53" s="1"/>
  <c r="H77" i="53" s="1"/>
  <c r="C78" i="53"/>
  <c r="B34" i="52" l="1"/>
  <c r="A35" i="52"/>
  <c r="C79" i="53"/>
  <c r="D78" i="53"/>
  <c r="E78" i="53" s="1"/>
  <c r="H78" i="53" s="1"/>
  <c r="B77" i="53"/>
  <c r="A36" i="52" l="1"/>
  <c r="B35" i="52"/>
  <c r="B78" i="53"/>
  <c r="C80" i="53"/>
  <c r="D79" i="53"/>
  <c r="E79" i="53" s="1"/>
  <c r="H79" i="53" s="1"/>
  <c r="A37" i="52" l="1"/>
  <c r="B36" i="52"/>
  <c r="B79" i="53"/>
  <c r="D80" i="53"/>
  <c r="E80" i="53" s="1"/>
  <c r="H80" i="53" s="1"/>
  <c r="C81" i="53"/>
  <c r="A38" i="52" l="1"/>
  <c r="B37" i="52"/>
  <c r="D81" i="53"/>
  <c r="E81" i="53" s="1"/>
  <c r="H81" i="53" s="1"/>
  <c r="C82" i="53"/>
  <c r="B80" i="53"/>
  <c r="B38" i="52" l="1"/>
  <c r="A39" i="52"/>
  <c r="D82" i="53"/>
  <c r="E82" i="53" s="1"/>
  <c r="H82" i="53" s="1"/>
  <c r="C83" i="53"/>
  <c r="B81" i="53"/>
  <c r="A40" i="52" l="1"/>
  <c r="B39" i="52"/>
  <c r="D83" i="53"/>
  <c r="E83" i="53" s="1"/>
  <c r="H83" i="53" s="1"/>
  <c r="C84" i="53"/>
  <c r="B82" i="53"/>
  <c r="A41" i="52" l="1"/>
  <c r="B40" i="52"/>
  <c r="D84" i="53"/>
  <c r="E84" i="53" s="1"/>
  <c r="H84" i="53" s="1"/>
  <c r="C85" i="53"/>
  <c r="B83" i="53"/>
  <c r="A42" i="52" l="1"/>
  <c r="B41" i="52"/>
  <c r="D85" i="53"/>
  <c r="E85" i="53" s="1"/>
  <c r="H85" i="53" s="1"/>
  <c r="C86" i="53"/>
  <c r="B84" i="53"/>
  <c r="A43" i="52" l="1"/>
  <c r="B42" i="52"/>
  <c r="C87" i="53"/>
  <c r="D86" i="53"/>
  <c r="E86" i="53" s="1"/>
  <c r="H86" i="53" s="1"/>
  <c r="B85" i="53"/>
  <c r="A44" i="52" l="1"/>
  <c r="B43" i="52"/>
  <c r="C88" i="53"/>
  <c r="D87" i="53"/>
  <c r="E87" i="53" s="1"/>
  <c r="H87" i="53" s="1"/>
  <c r="B86" i="53"/>
  <c r="A45" i="52" l="1"/>
  <c r="B44" i="52"/>
  <c r="B87" i="53"/>
  <c r="D88" i="53"/>
  <c r="E88" i="53" s="1"/>
  <c r="H88" i="53" s="1"/>
  <c r="C89" i="53"/>
  <c r="B45" i="52" l="1"/>
  <c r="A46" i="52"/>
  <c r="B88" i="53"/>
  <c r="D89" i="53"/>
  <c r="E89" i="53" s="1"/>
  <c r="H89" i="53" s="1"/>
  <c r="C90" i="53"/>
  <c r="A47" i="52" l="1"/>
  <c r="B46" i="52"/>
  <c r="B89" i="53"/>
  <c r="D90" i="53"/>
  <c r="E90" i="53" s="1"/>
  <c r="H90" i="53" s="1"/>
  <c r="C91" i="53"/>
  <c r="B47" i="52" l="1"/>
  <c r="A48" i="52"/>
  <c r="D91" i="53"/>
  <c r="E91" i="53" s="1"/>
  <c r="H91" i="53" s="1"/>
  <c r="C92" i="53"/>
  <c r="B90" i="53"/>
  <c r="A49" i="52" l="1"/>
  <c r="B48" i="52"/>
  <c r="D92" i="53"/>
  <c r="E92" i="53" s="1"/>
  <c r="H92" i="53" s="1"/>
  <c r="C93" i="53"/>
  <c r="B91" i="53"/>
  <c r="A50" i="52" l="1"/>
  <c r="B49" i="52"/>
  <c r="B92" i="53"/>
  <c r="D93" i="53"/>
  <c r="E93" i="53" s="1"/>
  <c r="H93" i="53" s="1"/>
  <c r="C94" i="53"/>
  <c r="A51" i="52" l="1"/>
  <c r="B50" i="52"/>
  <c r="B93" i="53"/>
  <c r="C95" i="53"/>
  <c r="D94" i="53"/>
  <c r="E94" i="53" s="1"/>
  <c r="H94" i="53" s="1"/>
  <c r="A52" i="52" l="1"/>
  <c r="B51" i="52"/>
  <c r="B94" i="53"/>
  <c r="C96" i="53"/>
  <c r="D95" i="53"/>
  <c r="E95" i="53" s="1"/>
  <c r="H95" i="53" s="1"/>
  <c r="A53" i="52" l="1"/>
  <c r="B52" i="52"/>
  <c r="B95" i="53"/>
  <c r="D96" i="53"/>
  <c r="E96" i="53" s="1"/>
  <c r="H96" i="53" s="1"/>
  <c r="C97" i="53"/>
  <c r="A54" i="52" l="1"/>
  <c r="B53" i="52"/>
  <c r="D97" i="53"/>
  <c r="E97" i="53" s="1"/>
  <c r="H97" i="53" s="1"/>
  <c r="C98" i="53"/>
  <c r="B96" i="53"/>
  <c r="A55" i="52" l="1"/>
  <c r="B54" i="52"/>
  <c r="D98" i="53"/>
  <c r="E98" i="53" s="1"/>
  <c r="H98" i="53" s="1"/>
  <c r="C99" i="53"/>
  <c r="D99" i="53" s="1"/>
  <c r="E99" i="53" s="1"/>
  <c r="H99" i="53" s="1"/>
  <c r="B97" i="53"/>
  <c r="A56" i="52" l="1"/>
  <c r="B55" i="52"/>
  <c r="B98" i="53"/>
  <c r="B99" i="53" s="1"/>
  <c r="B56" i="52" l="1"/>
  <c r="A57" i="52"/>
  <c r="B57" i="52" l="1"/>
  <c r="A58" i="52"/>
  <c r="F56" i="52"/>
  <c r="O56" i="52"/>
  <c r="G56" i="52"/>
  <c r="E56" i="52"/>
  <c r="D56" i="52"/>
  <c r="T56" i="52" s="1"/>
  <c r="P56" i="52" s="1"/>
  <c r="C56" i="52" l="1"/>
  <c r="D57" i="52" s="1"/>
  <c r="A59" i="52"/>
  <c r="B58" i="52"/>
  <c r="E57" i="52"/>
  <c r="F57" i="52"/>
  <c r="G57" i="52"/>
  <c r="O57" i="52"/>
  <c r="C57" i="52" l="1"/>
  <c r="D58" i="52" s="1"/>
  <c r="T57" i="52"/>
  <c r="P57" i="52" s="1"/>
  <c r="E58" i="52"/>
  <c r="F58" i="52"/>
  <c r="G58" i="52"/>
  <c r="O58" i="52"/>
  <c r="A60" i="52"/>
  <c r="B59" i="52"/>
  <c r="H56" i="52"/>
  <c r="V56" i="52" s="1"/>
  <c r="L56" i="52"/>
  <c r="T58" i="52" l="1"/>
  <c r="P58" i="52" s="1"/>
  <c r="C58" i="52"/>
  <c r="D59" i="52" s="1"/>
  <c r="G59" i="52"/>
  <c r="E59" i="52"/>
  <c r="F59" i="52"/>
  <c r="O59" i="52"/>
  <c r="W56" i="52"/>
  <c r="A61" i="52"/>
  <c r="B60" i="52"/>
  <c r="H57" i="52"/>
  <c r="V57" i="52" s="1"/>
  <c r="L57" i="52"/>
  <c r="W57" i="52" l="1"/>
  <c r="C59" i="52"/>
  <c r="T59" i="52"/>
  <c r="P59" i="52" s="1"/>
  <c r="A62" i="52"/>
  <c r="B61" i="52"/>
  <c r="G60" i="52"/>
  <c r="O60" i="52"/>
  <c r="E60" i="52"/>
  <c r="F60" i="52"/>
  <c r="H58" i="52"/>
  <c r="V58" i="52" s="1"/>
  <c r="L58" i="52"/>
  <c r="W58" i="52" l="1"/>
  <c r="E61" i="52"/>
  <c r="G61" i="52"/>
  <c r="O61" i="52"/>
  <c r="F61" i="52"/>
  <c r="B62" i="52"/>
  <c r="A63" i="52"/>
  <c r="L59" i="52"/>
  <c r="H59" i="52"/>
  <c r="V59" i="52" s="1"/>
  <c r="D60" i="52"/>
  <c r="W59" i="52" l="1"/>
  <c r="T60" i="52"/>
  <c r="P60" i="52" s="1"/>
  <c r="C60" i="52"/>
  <c r="B63" i="52"/>
  <c r="A64" i="52"/>
  <c r="E62" i="52"/>
  <c r="F62" i="52"/>
  <c r="G62" i="52"/>
  <c r="O62" i="52"/>
  <c r="E63" i="52" l="1"/>
  <c r="O63" i="52"/>
  <c r="F63" i="52"/>
  <c r="G63" i="52"/>
  <c r="L60" i="52"/>
  <c r="H60" i="52"/>
  <c r="V60" i="52" s="1"/>
  <c r="D61" i="52"/>
  <c r="B64" i="52"/>
  <c r="A65" i="52"/>
  <c r="A66" i="52" l="1"/>
  <c r="B65" i="52"/>
  <c r="G64" i="52"/>
  <c r="O64" i="52"/>
  <c r="F64" i="52"/>
  <c r="E64" i="52"/>
  <c r="W60" i="52"/>
  <c r="T61" i="52"/>
  <c r="P61" i="52" s="1"/>
  <c r="C61" i="52"/>
  <c r="H61" i="52" l="1"/>
  <c r="V61" i="52" s="1"/>
  <c r="L61" i="52"/>
  <c r="D62" i="52"/>
  <c r="E65" i="52"/>
  <c r="F65" i="52"/>
  <c r="G65" i="52"/>
  <c r="O65" i="52"/>
  <c r="A67" i="52"/>
  <c r="B66" i="52"/>
  <c r="E66" i="52" l="1"/>
  <c r="F66" i="52"/>
  <c r="G66" i="52"/>
  <c r="O66" i="52"/>
  <c r="A68" i="52"/>
  <c r="B67" i="52"/>
  <c r="T62" i="52"/>
  <c r="P62" i="52" s="1"/>
  <c r="C62" i="52"/>
  <c r="W61" i="52"/>
  <c r="A69" i="52" l="1"/>
  <c r="B68" i="52"/>
  <c r="H62" i="52"/>
  <c r="V62" i="52" s="1"/>
  <c r="L62" i="52"/>
  <c r="D63" i="52"/>
  <c r="F67" i="52"/>
  <c r="G67" i="52"/>
  <c r="O67" i="52"/>
  <c r="E67" i="52"/>
  <c r="W62" i="52" l="1"/>
  <c r="G68" i="52"/>
  <c r="O68" i="52"/>
  <c r="F68" i="52"/>
  <c r="E68" i="52"/>
  <c r="C63" i="52"/>
  <c r="T63" i="52"/>
  <c r="P63" i="52" s="1"/>
  <c r="A70" i="52"/>
  <c r="B69" i="52"/>
  <c r="E69" i="52" l="1"/>
  <c r="G69" i="52"/>
  <c r="O69" i="52"/>
  <c r="F69" i="52"/>
  <c r="A71" i="52"/>
  <c r="B70" i="52"/>
  <c r="L63" i="52"/>
  <c r="H63" i="52"/>
  <c r="V63" i="52" s="1"/>
  <c r="D64" i="52"/>
  <c r="W63" i="52" l="1"/>
  <c r="C64" i="52"/>
  <c r="T64" i="52"/>
  <c r="P64" i="52" s="1"/>
  <c r="A72" i="52"/>
  <c r="B71" i="52"/>
  <c r="E70" i="52"/>
  <c r="F70" i="52"/>
  <c r="O70" i="52"/>
  <c r="G70" i="52"/>
  <c r="B72" i="52" l="1"/>
  <c r="A73" i="52"/>
  <c r="L64" i="52"/>
  <c r="H64" i="52"/>
  <c r="V64" i="52" s="1"/>
  <c r="D65" i="52"/>
  <c r="F71" i="52"/>
  <c r="O71" i="52"/>
  <c r="G71" i="52"/>
  <c r="E71" i="52"/>
  <c r="T65" i="52" l="1"/>
  <c r="P65" i="52" s="1"/>
  <c r="C65" i="52"/>
  <c r="W64" i="52"/>
  <c r="B73" i="52"/>
  <c r="A74" i="52"/>
  <c r="G72" i="52"/>
  <c r="O72" i="52"/>
  <c r="F72" i="52"/>
  <c r="E72" i="52"/>
  <c r="E73" i="52" l="1"/>
  <c r="G73" i="52"/>
  <c r="O73" i="52"/>
  <c r="F73" i="52"/>
  <c r="L65" i="52"/>
  <c r="H65" i="52"/>
  <c r="V65" i="52" s="1"/>
  <c r="D66" i="52"/>
  <c r="A75" i="52"/>
  <c r="B74" i="52"/>
  <c r="T66" i="52" l="1"/>
  <c r="P66" i="52" s="1"/>
  <c r="C66" i="52"/>
  <c r="W65" i="52"/>
  <c r="E74" i="52"/>
  <c r="G74" i="52"/>
  <c r="O74" i="52"/>
  <c r="F74" i="52"/>
  <c r="A76" i="52"/>
  <c r="B75" i="52"/>
  <c r="A77" i="52" l="1"/>
  <c r="B76" i="52"/>
  <c r="E75" i="52"/>
  <c r="F75" i="52"/>
  <c r="O75" i="52"/>
  <c r="G75" i="52"/>
  <c r="L66" i="52"/>
  <c r="H66" i="52"/>
  <c r="V66" i="52" s="1"/>
  <c r="D67" i="52"/>
  <c r="T67" i="52" l="1"/>
  <c r="P67" i="52" s="1"/>
  <c r="C67" i="52"/>
  <c r="W66" i="52"/>
  <c r="G76" i="52"/>
  <c r="O76" i="52"/>
  <c r="E76" i="52"/>
  <c r="F76" i="52"/>
  <c r="A78" i="52"/>
  <c r="B77" i="52"/>
  <c r="E77" i="52" l="1"/>
  <c r="F77" i="52"/>
  <c r="O77" i="52"/>
  <c r="G77" i="52"/>
  <c r="H67" i="52"/>
  <c r="V67" i="52" s="1"/>
  <c r="L67" i="52"/>
  <c r="D68" i="52"/>
  <c r="A79" i="52"/>
  <c r="B78" i="52"/>
  <c r="A80" i="52" l="1"/>
  <c r="B79" i="52"/>
  <c r="F78" i="52"/>
  <c r="G78" i="52"/>
  <c r="O78" i="52"/>
  <c r="E78" i="52"/>
  <c r="C68" i="52"/>
  <c r="T68" i="52"/>
  <c r="P68" i="52" s="1"/>
  <c r="W67" i="52"/>
  <c r="L68" i="52" l="1"/>
  <c r="H68" i="52"/>
  <c r="V68" i="52" s="1"/>
  <c r="D69" i="52"/>
  <c r="F79" i="52"/>
  <c r="E79" i="52"/>
  <c r="O79" i="52"/>
  <c r="G79" i="52"/>
  <c r="B80" i="52"/>
  <c r="A81" i="52"/>
  <c r="B81" i="52" l="1"/>
  <c r="A82" i="52"/>
  <c r="T69" i="52"/>
  <c r="P69" i="52" s="1"/>
  <c r="C69" i="52"/>
  <c r="G80" i="52"/>
  <c r="O80" i="52"/>
  <c r="E80" i="52"/>
  <c r="F80" i="52"/>
  <c r="W68" i="52"/>
  <c r="L69" i="52" l="1"/>
  <c r="H69" i="52"/>
  <c r="V69" i="52" s="1"/>
  <c r="D70" i="52"/>
  <c r="A83" i="52"/>
  <c r="B82" i="52"/>
  <c r="E81" i="52"/>
  <c r="F81" i="52"/>
  <c r="O81" i="52"/>
  <c r="G81" i="52"/>
  <c r="G82" i="52" l="1"/>
  <c r="O82" i="52"/>
  <c r="F82" i="52"/>
  <c r="E82" i="52"/>
  <c r="B83" i="52"/>
  <c r="A84" i="52"/>
  <c r="C70" i="52"/>
  <c r="T70" i="52"/>
  <c r="P70" i="52" s="1"/>
  <c r="W69" i="52"/>
  <c r="H70" i="52" l="1"/>
  <c r="V70" i="52" s="1"/>
  <c r="L70" i="52"/>
  <c r="D71" i="52"/>
  <c r="G83" i="52"/>
  <c r="O83" i="52"/>
  <c r="F83" i="52"/>
  <c r="E83" i="52"/>
  <c r="B84" i="52"/>
  <c r="A85" i="52"/>
  <c r="A86" i="52" l="1"/>
  <c r="B85" i="52"/>
  <c r="C71" i="52"/>
  <c r="T71" i="52"/>
  <c r="P71" i="52" s="1"/>
  <c r="O84" i="52"/>
  <c r="E84" i="52"/>
  <c r="G84" i="52"/>
  <c r="F84" i="52"/>
  <c r="W70" i="52"/>
  <c r="L71" i="52" l="1"/>
  <c r="H71" i="52"/>
  <c r="V71" i="52" s="1"/>
  <c r="D72" i="52"/>
  <c r="E85" i="52"/>
  <c r="F85" i="52"/>
  <c r="G85" i="52"/>
  <c r="O85" i="52"/>
  <c r="A87" i="52"/>
  <c r="B86" i="52"/>
  <c r="G86" i="52" l="1"/>
  <c r="O86" i="52"/>
  <c r="F86" i="52"/>
  <c r="E86" i="52"/>
  <c r="T72" i="52"/>
  <c r="P72" i="52" s="1"/>
  <c r="C72" i="52"/>
  <c r="B87" i="52"/>
  <c r="A88" i="52"/>
  <c r="W71" i="52"/>
  <c r="A89" i="52" l="1"/>
  <c r="B88" i="52"/>
  <c r="O87" i="52"/>
  <c r="F87" i="52"/>
  <c r="G87" i="52"/>
  <c r="E87" i="52"/>
  <c r="L72" i="52"/>
  <c r="H72" i="52"/>
  <c r="V72" i="52" s="1"/>
  <c r="D73" i="52"/>
  <c r="T73" i="52" l="1"/>
  <c r="P73" i="52" s="1"/>
  <c r="C73" i="52"/>
  <c r="W72" i="52"/>
  <c r="O88" i="52"/>
  <c r="F88" i="52"/>
  <c r="E88" i="52"/>
  <c r="G88" i="52"/>
  <c r="A90" i="52"/>
  <c r="B89" i="52"/>
  <c r="B90" i="52" l="1"/>
  <c r="A91" i="52"/>
  <c r="G89" i="52"/>
  <c r="E89" i="52"/>
  <c r="F89" i="52"/>
  <c r="O89" i="52"/>
  <c r="L73" i="52"/>
  <c r="H73" i="52"/>
  <c r="V73" i="52" s="1"/>
  <c r="D74" i="52"/>
  <c r="W73" i="52" l="1"/>
  <c r="B91" i="52"/>
  <c r="A92" i="52"/>
  <c r="T74" i="52"/>
  <c r="P74" i="52" s="1"/>
  <c r="C74" i="52"/>
  <c r="E90" i="52"/>
  <c r="O90" i="52"/>
  <c r="G90" i="52"/>
  <c r="F90" i="52"/>
  <c r="H74" i="52" l="1"/>
  <c r="V74" i="52" s="1"/>
  <c r="L74" i="52"/>
  <c r="D75" i="52"/>
  <c r="A93" i="52"/>
  <c r="B92" i="52"/>
  <c r="O91" i="52"/>
  <c r="F91" i="52"/>
  <c r="E91" i="52"/>
  <c r="G91" i="52"/>
  <c r="G92" i="52" l="1"/>
  <c r="O92" i="52"/>
  <c r="F92" i="52"/>
  <c r="E92" i="52"/>
  <c r="A94" i="52"/>
  <c r="B93" i="52"/>
  <c r="T75" i="52"/>
  <c r="P75" i="52" s="1"/>
  <c r="C75" i="52"/>
  <c r="W74" i="52"/>
  <c r="G93" i="52" l="1"/>
  <c r="E93" i="52"/>
  <c r="O93" i="52"/>
  <c r="F93" i="52"/>
  <c r="L75" i="52"/>
  <c r="H75" i="52"/>
  <c r="V75" i="52" s="1"/>
  <c r="D76" i="52"/>
  <c r="A95" i="52"/>
  <c r="B94" i="52"/>
  <c r="G94" i="52" l="1"/>
  <c r="O94" i="52"/>
  <c r="E94" i="52"/>
  <c r="F94" i="52"/>
  <c r="B95" i="52"/>
  <c r="A96" i="52"/>
  <c r="T76" i="52"/>
  <c r="P76" i="52" s="1"/>
  <c r="C76" i="52"/>
  <c r="W75" i="52"/>
  <c r="A97" i="52" l="1"/>
  <c r="B96" i="52"/>
  <c r="L76" i="52"/>
  <c r="H76" i="52"/>
  <c r="V76" i="52" s="1"/>
  <c r="D77" i="52"/>
  <c r="F95" i="52"/>
  <c r="G95" i="52"/>
  <c r="O95" i="52"/>
  <c r="E95" i="52"/>
  <c r="T77" i="52" l="1"/>
  <c r="P77" i="52" s="1"/>
  <c r="C77" i="52"/>
  <c r="W76" i="52"/>
  <c r="E96" i="52"/>
  <c r="F96" i="52"/>
  <c r="O96" i="52"/>
  <c r="G96" i="52"/>
  <c r="B97" i="52"/>
  <c r="A98" i="52"/>
  <c r="G97" i="52" l="1"/>
  <c r="O97" i="52"/>
  <c r="F97" i="52"/>
  <c r="E97" i="52"/>
  <c r="A99" i="52"/>
  <c r="B98" i="52"/>
  <c r="H77" i="52"/>
  <c r="V77" i="52" s="1"/>
  <c r="L77" i="52"/>
  <c r="D78" i="52"/>
  <c r="T78" i="52" l="1"/>
  <c r="P78" i="52" s="1"/>
  <c r="C78" i="52"/>
  <c r="W77" i="52"/>
  <c r="B99" i="52"/>
  <c r="A100" i="52"/>
  <c r="F98" i="52"/>
  <c r="E98" i="52"/>
  <c r="G98" i="52"/>
  <c r="O98" i="52"/>
  <c r="B100" i="52" l="1"/>
  <c r="A101" i="52"/>
  <c r="F99" i="52"/>
  <c r="G99" i="52"/>
  <c r="O99" i="52"/>
  <c r="E99" i="52"/>
  <c r="H78" i="52"/>
  <c r="V78" i="52" s="1"/>
  <c r="L78" i="52"/>
  <c r="D79" i="52"/>
  <c r="C79" i="52" l="1"/>
  <c r="T79" i="52"/>
  <c r="P79" i="52" s="1"/>
  <c r="B101" i="52"/>
  <c r="A102" i="52"/>
  <c r="W78" i="52"/>
  <c r="E100" i="52"/>
  <c r="F100" i="52"/>
  <c r="O100" i="52"/>
  <c r="G100" i="52"/>
  <c r="B102" i="52" l="1"/>
  <c r="A103" i="52"/>
  <c r="B103" i="52" s="1"/>
  <c r="E101" i="52"/>
  <c r="G101" i="52"/>
  <c r="F101" i="52"/>
  <c r="O101" i="52"/>
  <c r="L79" i="52"/>
  <c r="H79" i="52"/>
  <c r="V79" i="52" s="1"/>
  <c r="D80" i="52"/>
  <c r="C80" i="52" l="1"/>
  <c r="T80" i="52"/>
  <c r="P80" i="52" s="1"/>
  <c r="W79" i="52"/>
  <c r="G103" i="52"/>
  <c r="F103" i="52"/>
  <c r="O103" i="52"/>
  <c r="G102" i="52"/>
  <c r="F102" i="52"/>
  <c r="O102" i="52"/>
  <c r="E102" i="52"/>
  <c r="E103" i="52" s="1"/>
  <c r="H80" i="52" l="1"/>
  <c r="V80" i="52" s="1"/>
  <c r="L80" i="52"/>
  <c r="D81" i="52"/>
  <c r="T81" i="52" l="1"/>
  <c r="P81" i="52" s="1"/>
  <c r="C81" i="52"/>
  <c r="W80" i="52"/>
  <c r="L81" i="52" l="1"/>
  <c r="H81" i="52"/>
  <c r="V81" i="52" s="1"/>
  <c r="D82" i="52"/>
  <c r="T82" i="52" l="1"/>
  <c r="P82" i="52" s="1"/>
  <c r="C82" i="52"/>
  <c r="W81" i="52"/>
  <c r="L82" i="52" l="1"/>
  <c r="H82" i="52"/>
  <c r="V82" i="52" s="1"/>
  <c r="D83" i="52"/>
  <c r="T83" i="52" l="1"/>
  <c r="P83" i="52" s="1"/>
  <c r="C83" i="52"/>
  <c r="W82" i="52"/>
  <c r="L83" i="52" l="1"/>
  <c r="H83" i="52"/>
  <c r="V83" i="52" s="1"/>
  <c r="D84" i="52"/>
  <c r="T84" i="52" l="1"/>
  <c r="P84" i="52" s="1"/>
  <c r="C84" i="52"/>
  <c r="W83" i="52"/>
  <c r="H84" i="52" l="1"/>
  <c r="V84" i="52" s="1"/>
  <c r="L84" i="52"/>
  <c r="D85" i="52"/>
  <c r="C85" i="52" l="1"/>
  <c r="T85" i="52"/>
  <c r="P85" i="52" s="1"/>
  <c r="W84" i="52"/>
  <c r="H85" i="52" l="1"/>
  <c r="V85" i="52" s="1"/>
  <c r="L85" i="52"/>
  <c r="D86" i="52"/>
  <c r="C86" i="52" l="1"/>
  <c r="T86" i="52"/>
  <c r="P86" i="52" s="1"/>
  <c r="W85" i="52"/>
  <c r="H86" i="52" l="1"/>
  <c r="V86" i="52" s="1"/>
  <c r="L86" i="52"/>
  <c r="D87" i="52"/>
  <c r="T87" i="52" l="1"/>
  <c r="P87" i="52" s="1"/>
  <c r="C87" i="52"/>
  <c r="W86" i="52"/>
  <c r="H87" i="52" l="1"/>
  <c r="V87" i="52" s="1"/>
  <c r="L87" i="52"/>
  <c r="D88" i="52"/>
  <c r="T88" i="52" l="1"/>
  <c r="P88" i="52" s="1"/>
  <c r="C88" i="52"/>
  <c r="W87" i="52"/>
  <c r="H88" i="52" l="1"/>
  <c r="V88" i="52" s="1"/>
  <c r="L88" i="52"/>
  <c r="D89" i="52"/>
  <c r="T89" i="52" l="1"/>
  <c r="P89" i="52" s="1"/>
  <c r="C89" i="52"/>
  <c r="W88" i="52"/>
  <c r="L89" i="52" l="1"/>
  <c r="H89" i="52"/>
  <c r="V89" i="52" s="1"/>
  <c r="D90" i="52"/>
  <c r="C90" i="52" l="1"/>
  <c r="T90" i="52"/>
  <c r="P90" i="52" s="1"/>
  <c r="W89" i="52"/>
  <c r="L90" i="52" l="1"/>
  <c r="H90" i="52"/>
  <c r="V90" i="52" s="1"/>
  <c r="D91" i="52"/>
  <c r="C91" i="52" l="1"/>
  <c r="T91" i="52"/>
  <c r="P91" i="52" s="1"/>
  <c r="W90" i="52"/>
  <c r="L91" i="52" l="1"/>
  <c r="H91" i="52"/>
  <c r="V91" i="52" s="1"/>
  <c r="D92" i="52"/>
  <c r="C92" i="52" l="1"/>
  <c r="T92" i="52"/>
  <c r="P92" i="52" s="1"/>
  <c r="W91" i="52"/>
  <c r="L92" i="52" l="1"/>
  <c r="H92" i="52"/>
  <c r="V92" i="52" s="1"/>
  <c r="D93" i="52"/>
  <c r="C93" i="52" l="1"/>
  <c r="T93" i="52"/>
  <c r="P93" i="52" s="1"/>
  <c r="W92" i="52"/>
  <c r="L93" i="52" l="1"/>
  <c r="H93" i="52"/>
  <c r="V93" i="52" s="1"/>
  <c r="D94" i="52"/>
  <c r="T94" i="52" l="1"/>
  <c r="P94" i="52" s="1"/>
  <c r="C94" i="52"/>
  <c r="W93" i="52"/>
  <c r="L94" i="52" l="1"/>
  <c r="H94" i="52"/>
  <c r="V94" i="52" s="1"/>
  <c r="D95" i="52"/>
  <c r="T95" i="52" l="1"/>
  <c r="P95" i="52" s="1"/>
  <c r="C95" i="52"/>
  <c r="W94" i="52"/>
  <c r="L95" i="52" l="1"/>
  <c r="H95" i="52"/>
  <c r="V95" i="52" s="1"/>
  <c r="D96" i="52"/>
  <c r="C96" i="52" l="1"/>
  <c r="T96" i="52"/>
  <c r="P96" i="52" s="1"/>
  <c r="W95" i="52"/>
  <c r="L96" i="52" l="1"/>
  <c r="H96" i="52"/>
  <c r="V96" i="52" s="1"/>
  <c r="D97" i="52"/>
  <c r="T97" i="52" l="1"/>
  <c r="C97" i="52"/>
  <c r="D98" i="52" s="1"/>
  <c r="W96" i="52"/>
  <c r="T98" i="52" l="1"/>
  <c r="P98" i="52" s="1"/>
  <c r="C98" i="52"/>
  <c r="H97" i="52"/>
  <c r="V97" i="52" s="1"/>
  <c r="L97" i="52"/>
  <c r="P97" i="52"/>
  <c r="L98" i="52" l="1"/>
  <c r="H98" i="52"/>
  <c r="V98" i="52" s="1"/>
  <c r="D99" i="52"/>
  <c r="W97" i="52"/>
  <c r="C99" i="52" l="1"/>
  <c r="T99" i="52"/>
  <c r="P99" i="52" s="1"/>
  <c r="W98" i="52"/>
  <c r="L99" i="52" l="1"/>
  <c r="H99" i="52"/>
  <c r="V99" i="52" s="1"/>
  <c r="W99" i="52" s="1"/>
  <c r="D100" i="52"/>
  <c r="T100" i="52" l="1"/>
  <c r="P100" i="52" s="1"/>
  <c r="C100" i="52"/>
  <c r="H100" i="52" l="1"/>
  <c r="V100" i="52" s="1"/>
  <c r="L100" i="52"/>
  <c r="D101" i="52"/>
  <c r="C101" i="52" l="1"/>
  <c r="T101" i="52"/>
  <c r="P101" i="52" s="1"/>
  <c r="W100" i="52"/>
  <c r="L101" i="52" l="1"/>
  <c r="H101" i="52"/>
  <c r="V101" i="52" s="1"/>
  <c r="D102" i="52"/>
  <c r="T102" i="52" l="1"/>
  <c r="P102" i="52" s="1"/>
  <c r="C102" i="52"/>
  <c r="W101" i="52"/>
  <c r="L102" i="52" l="1"/>
  <c r="H102" i="52"/>
  <c r="V102" i="52" s="1"/>
  <c r="D103" i="52"/>
  <c r="T103" i="52" l="1"/>
  <c r="C103" i="52"/>
  <c r="P8" i="52" s="1"/>
  <c r="W102" i="52"/>
  <c r="P23" i="52" l="1"/>
  <c r="R24" i="52" s="1"/>
  <c r="P12" i="52"/>
  <c r="P13" i="52" s="1"/>
  <c r="L103" i="52"/>
  <c r="H103" i="52"/>
  <c r="V103" i="52" s="1"/>
  <c r="P103" i="52"/>
  <c r="R22" i="52"/>
  <c r="F59" i="53" l="1"/>
  <c r="F58" i="53"/>
  <c r="F62" i="53"/>
  <c r="F89" i="53"/>
  <c r="F27" i="53"/>
  <c r="F86" i="53"/>
  <c r="F13" i="53"/>
  <c r="F41" i="53"/>
  <c r="F32" i="53"/>
  <c r="F56" i="53"/>
  <c r="F82" i="53"/>
  <c r="F30" i="53"/>
  <c r="F24" i="53"/>
  <c r="F23" i="53"/>
  <c r="F40" i="53"/>
  <c r="F44" i="53"/>
  <c r="F53" i="53"/>
  <c r="F18" i="53"/>
  <c r="F64" i="53"/>
  <c r="F78" i="53"/>
  <c r="F9" i="53"/>
  <c r="F15" i="53"/>
  <c r="F39" i="53"/>
  <c r="F33" i="53"/>
  <c r="F99" i="53"/>
  <c r="F66" i="53"/>
  <c r="F71" i="53"/>
  <c r="P14" i="52"/>
  <c r="F17" i="53"/>
  <c r="F63" i="53"/>
  <c r="F77" i="53"/>
  <c r="F36" i="53"/>
  <c r="F93" i="53"/>
  <c r="F14" i="53"/>
  <c r="F91" i="53"/>
  <c r="F20" i="53"/>
  <c r="F38" i="53"/>
  <c r="F70" i="53"/>
  <c r="F92" i="53"/>
  <c r="F35" i="53"/>
  <c r="F45" i="53"/>
  <c r="F79" i="53"/>
  <c r="F8" i="53"/>
  <c r="F72" i="53"/>
  <c r="F22" i="53"/>
  <c r="F28" i="53"/>
  <c r="F98" i="53"/>
  <c r="F6" i="53"/>
  <c r="F21" i="53"/>
  <c r="F97" i="53"/>
  <c r="F25" i="53"/>
  <c r="F52" i="53"/>
  <c r="F75" i="53"/>
  <c r="F95" i="53"/>
  <c r="F50" i="53"/>
  <c r="F61" i="53"/>
  <c r="F85" i="53"/>
  <c r="F5" i="53"/>
  <c r="F4" i="53"/>
  <c r="G4" i="53" s="1"/>
  <c r="F10" i="53"/>
  <c r="F73" i="53"/>
  <c r="F55" i="53"/>
  <c r="F26" i="53"/>
  <c r="F60" i="53"/>
  <c r="F94" i="53"/>
  <c r="F88" i="53"/>
  <c r="F83" i="53"/>
  <c r="F7" i="53"/>
  <c r="F43" i="53"/>
  <c r="F67" i="53"/>
  <c r="F69" i="53"/>
  <c r="F80" i="53"/>
  <c r="F87" i="53"/>
  <c r="F46" i="53"/>
  <c r="F29" i="53"/>
  <c r="F16" i="53"/>
  <c r="F42" i="53"/>
  <c r="F47" i="53"/>
  <c r="F84" i="53"/>
  <c r="F90" i="53"/>
  <c r="F49" i="53"/>
  <c r="F74" i="53"/>
  <c r="F96" i="53"/>
  <c r="F68" i="53"/>
  <c r="F37" i="53"/>
  <c r="F11" i="53"/>
  <c r="F76" i="53"/>
  <c r="F57" i="53"/>
  <c r="F12" i="53"/>
  <c r="F54" i="53"/>
  <c r="F81" i="53"/>
  <c r="F31" i="53"/>
  <c r="F19" i="53"/>
  <c r="F51" i="53"/>
  <c r="F65" i="53"/>
  <c r="F34" i="53"/>
  <c r="F48" i="53"/>
  <c r="W103" i="52"/>
  <c r="J23" i="52"/>
  <c r="G5" i="53" l="1"/>
  <c r="G6" i="53" s="1"/>
  <c r="G7" i="53" s="1"/>
  <c r="G8" i="53" s="1"/>
  <c r="G9" i="53" s="1"/>
  <c r="G10" i="53" s="1"/>
  <c r="G11" i="53" s="1"/>
  <c r="G12" i="53" s="1"/>
  <c r="G13" i="53" s="1"/>
  <c r="G14" i="53" s="1"/>
  <c r="G15" i="53" s="1"/>
  <c r="G16" i="53" s="1"/>
  <c r="G17" i="53" s="1"/>
  <c r="G18" i="53" s="1"/>
  <c r="G19" i="53" s="1"/>
  <c r="G20" i="53" s="1"/>
  <c r="G21" i="53" s="1"/>
  <c r="G22" i="53" s="1"/>
  <c r="G23" i="53" s="1"/>
  <c r="G24" i="53" s="1"/>
  <c r="G25" i="53" s="1"/>
  <c r="G26" i="53" s="1"/>
  <c r="G27" i="53" s="1"/>
  <c r="G28" i="53" s="1"/>
  <c r="G29" i="53" s="1"/>
  <c r="G30" i="53" s="1"/>
  <c r="G31" i="53" s="1"/>
  <c r="G32" i="53" s="1"/>
  <c r="G33" i="53" s="1"/>
  <c r="G34" i="53" s="1"/>
  <c r="G35" i="53" s="1"/>
  <c r="G36" i="53" s="1"/>
  <c r="G37" i="53" s="1"/>
  <c r="G38" i="53" s="1"/>
  <c r="G39" i="53" s="1"/>
  <c r="G40" i="53" s="1"/>
  <c r="G41" i="53" s="1"/>
  <c r="G42" i="53" s="1"/>
  <c r="G43" i="53" s="1"/>
  <c r="G44" i="53" s="1"/>
  <c r="G45" i="53" s="1"/>
  <c r="G46" i="53" s="1"/>
  <c r="G47" i="53" s="1"/>
  <c r="G48" i="53" s="1"/>
  <c r="G49" i="53" s="1"/>
  <c r="G50" i="53" s="1"/>
  <c r="G51" i="53" s="1"/>
  <c r="G52" i="53" s="1"/>
  <c r="G53" i="53" s="1"/>
  <c r="G54" i="53" s="1"/>
  <c r="G55" i="53" s="1"/>
  <c r="G56" i="53" s="1"/>
  <c r="G57" i="53" s="1"/>
  <c r="G58" i="53" s="1"/>
  <c r="G59" i="53" s="1"/>
  <c r="G60" i="53" s="1"/>
  <c r="G61" i="53" s="1"/>
  <c r="G62" i="53" s="1"/>
  <c r="G63" i="53" s="1"/>
  <c r="G64" i="53" s="1"/>
  <c r="G65" i="53" s="1"/>
  <c r="G66" i="53" s="1"/>
  <c r="G67" i="53" s="1"/>
  <c r="G68" i="53" s="1"/>
  <c r="G69" i="53" s="1"/>
  <c r="G70" i="53" s="1"/>
  <c r="G71" i="53" s="1"/>
  <c r="G72" i="53" s="1"/>
  <c r="G73" i="53" s="1"/>
  <c r="G74" i="53" s="1"/>
  <c r="G75" i="53" s="1"/>
  <c r="AA76" i="52"/>
  <c r="AA59" i="52"/>
  <c r="AA95" i="52"/>
  <c r="AA48" i="52"/>
  <c r="AA63" i="52"/>
  <c r="AA54" i="52"/>
  <c r="AA93" i="52"/>
  <c r="AA80" i="52"/>
  <c r="AA71" i="52"/>
  <c r="AA74" i="52"/>
  <c r="AA101" i="52"/>
  <c r="AA36" i="52"/>
  <c r="AA99" i="52"/>
  <c r="AA55" i="52"/>
  <c r="AA39" i="52"/>
  <c r="AA88" i="52"/>
  <c r="AA72" i="52"/>
  <c r="AA68" i="52"/>
  <c r="AA58" i="52"/>
  <c r="AA67" i="52"/>
  <c r="AA50" i="52"/>
  <c r="AA37" i="52"/>
  <c r="AA35" i="52"/>
  <c r="AA75" i="52"/>
  <c r="AA78" i="52"/>
  <c r="AA102" i="52"/>
  <c r="AA64" i="52"/>
  <c r="AA57" i="52"/>
  <c r="AA62" i="52"/>
  <c r="AA61" i="52"/>
  <c r="AA77" i="52"/>
  <c r="AA33" i="52"/>
  <c r="AA51" i="52"/>
  <c r="AA69" i="52"/>
  <c r="AA65" i="52"/>
  <c r="AA92" i="52"/>
  <c r="AA44" i="52"/>
  <c r="AA66" i="52"/>
  <c r="AA60" i="52"/>
  <c r="AA90" i="52"/>
  <c r="AA70" i="52"/>
  <c r="AA97" i="52"/>
  <c r="AA96" i="52"/>
  <c r="AA53" i="52"/>
  <c r="AA32" i="52"/>
  <c r="Y32" i="52" s="1"/>
  <c r="AB32" i="52" s="1"/>
  <c r="X33" i="52" s="1"/>
  <c r="Z33" i="52" s="1"/>
  <c r="AA103" i="52"/>
  <c r="AA94" i="52"/>
  <c r="AA79" i="52"/>
  <c r="AA85" i="52"/>
  <c r="AA49" i="52"/>
  <c r="AA89" i="52"/>
  <c r="AA87" i="52"/>
  <c r="AA47" i="52"/>
  <c r="AA34" i="52"/>
  <c r="AA41" i="52"/>
  <c r="AA86" i="52"/>
  <c r="AA82" i="52"/>
  <c r="AA40" i="52"/>
  <c r="AA46" i="52"/>
  <c r="AA38" i="52"/>
  <c r="AA83" i="52"/>
  <c r="AA91" i="52"/>
  <c r="AA45" i="52"/>
  <c r="AA43" i="52"/>
  <c r="AA52" i="52"/>
  <c r="AA73" i="52"/>
  <c r="AA56" i="52"/>
  <c r="AA42" i="52"/>
  <c r="AA81" i="52"/>
  <c r="AA98" i="52"/>
  <c r="AA84" i="52"/>
  <c r="AA100" i="52"/>
  <c r="G76" i="53" l="1"/>
  <c r="G77" i="53" s="1"/>
  <c r="G78" i="53" s="1"/>
  <c r="G79" i="53" s="1"/>
  <c r="G80" i="53" s="1"/>
  <c r="G81" i="53" s="1"/>
  <c r="G82" i="53" s="1"/>
  <c r="G83" i="53" s="1"/>
  <c r="G84" i="53" s="1"/>
  <c r="G85" i="53" s="1"/>
  <c r="G86" i="53" s="1"/>
  <c r="G87" i="53" s="1"/>
  <c r="G88" i="53" s="1"/>
  <c r="G89" i="53" s="1"/>
  <c r="G90" i="53" s="1"/>
  <c r="G91" i="53" s="1"/>
  <c r="G92" i="53" s="1"/>
  <c r="G93" i="53" s="1"/>
  <c r="G94" i="53" s="1"/>
  <c r="G95" i="53" s="1"/>
  <c r="G96" i="53" s="1"/>
  <c r="G97" i="53" s="1"/>
  <c r="G98" i="53" s="1"/>
  <c r="G99" i="53" s="1"/>
  <c r="I24" i="52"/>
  <c r="Y33" i="52"/>
  <c r="AB33" i="52" s="1"/>
  <c r="X34" i="52" s="1"/>
  <c r="Z34" i="52" s="1"/>
  <c r="Y34" i="52" s="1"/>
  <c r="AB34" i="52" s="1"/>
  <c r="X35" i="52" s="1"/>
  <c r="Z35" i="52" s="1"/>
  <c r="Y35" i="52" s="1"/>
  <c r="AB35" i="52" s="1"/>
  <c r="X36" i="52" s="1"/>
  <c r="Z36" i="52" s="1"/>
  <c r="Y36" i="52" s="1"/>
  <c r="AB36" i="52" s="1"/>
  <c r="X37" i="52" s="1"/>
  <c r="Z37" i="52" s="1"/>
  <c r="Y37" i="52" s="1"/>
  <c r="AB37" i="52" s="1"/>
  <c r="X38" i="52" s="1"/>
  <c r="Z38" i="52" s="1"/>
  <c r="Y38" i="52" s="1"/>
  <c r="AB38" i="52" s="1"/>
  <c r="X39" i="52" s="1"/>
  <c r="Z39" i="52" s="1"/>
  <c r="Y39" i="52" s="1"/>
  <c r="AB39" i="52" s="1"/>
  <c r="X40" i="52" s="1"/>
  <c r="Z40" i="52" s="1"/>
  <c r="Y40" i="52" s="1"/>
  <c r="AB40" i="52" s="1"/>
  <c r="X41" i="52" s="1"/>
  <c r="Z41" i="52" s="1"/>
  <c r="Y41" i="52" s="1"/>
  <c r="AB41" i="52" s="1"/>
  <c r="X42" i="52" s="1"/>
  <c r="Z42" i="52" s="1"/>
  <c r="Y42" i="52" s="1"/>
  <c r="AB42" i="52" s="1"/>
  <c r="X43" i="52" s="1"/>
  <c r="Z43" i="52" s="1"/>
  <c r="Y43" i="52" s="1"/>
  <c r="AB43" i="52" s="1"/>
  <c r="X44" i="52" s="1"/>
  <c r="Z44" i="52" s="1"/>
  <c r="Y44" i="52" s="1"/>
  <c r="AB44" i="52" s="1"/>
  <c r="X45" i="52" s="1"/>
  <c r="Z45" i="52" s="1"/>
  <c r="Y45" i="52" s="1"/>
  <c r="AB45" i="52" s="1"/>
  <c r="X46" i="52" s="1"/>
  <c r="Z46" i="52" s="1"/>
  <c r="Y46" i="52" s="1"/>
  <c r="AB46" i="52" s="1"/>
  <c r="X47" i="52" s="1"/>
  <c r="Z47" i="52" s="1"/>
  <c r="Y47" i="52" s="1"/>
  <c r="AB47" i="52" s="1"/>
  <c r="X48" i="52" s="1"/>
  <c r="Z48" i="52" s="1"/>
  <c r="Y48" i="52" s="1"/>
  <c r="AB48" i="52" s="1"/>
  <c r="X49" i="52" s="1"/>
  <c r="Z49" i="52" s="1"/>
  <c r="Y49" i="52" s="1"/>
  <c r="AB49" i="52" s="1"/>
  <c r="X50" i="52" s="1"/>
  <c r="Z50" i="52" s="1"/>
  <c r="Y50" i="52" s="1"/>
  <c r="AB50" i="52" s="1"/>
  <c r="X51" i="52" s="1"/>
  <c r="Z51" i="52" s="1"/>
  <c r="Y51" i="52" s="1"/>
  <c r="AB51" i="52" s="1"/>
  <c r="X52" i="52" s="1"/>
  <c r="Z52" i="52" s="1"/>
  <c r="Y52" i="52" s="1"/>
  <c r="AB52" i="52" s="1"/>
  <c r="X53" i="52" s="1"/>
  <c r="Z53" i="52" s="1"/>
  <c r="Y53" i="52" s="1"/>
  <c r="AB53" i="52" s="1"/>
  <c r="X54" i="52" s="1"/>
  <c r="Z54" i="52" s="1"/>
  <c r="Y54" i="52" s="1"/>
  <c r="AB54" i="52" s="1"/>
  <c r="X55" i="52" s="1"/>
  <c r="Z55" i="52" s="1"/>
  <c r="Y55" i="52" s="1"/>
  <c r="AB55" i="52" s="1"/>
  <c r="X56" i="52" s="1"/>
  <c r="Z56" i="52" s="1"/>
  <c r="Y56" i="52" s="1"/>
  <c r="AB56" i="52" s="1"/>
  <c r="X57" i="52" s="1"/>
  <c r="Z57" i="52" s="1"/>
  <c r="Y57" i="52" s="1"/>
  <c r="AB57" i="52" s="1"/>
  <c r="X58" i="52" s="1"/>
  <c r="Z58" i="52" s="1"/>
  <c r="Y58" i="52" s="1"/>
  <c r="AB58" i="52" s="1"/>
  <c r="X59" i="52" s="1"/>
  <c r="Z59" i="52" s="1"/>
  <c r="Y59" i="52" s="1"/>
  <c r="AB59" i="52" s="1"/>
  <c r="X60" i="52" s="1"/>
  <c r="Z60" i="52" s="1"/>
  <c r="Y60" i="52" s="1"/>
  <c r="AB60" i="52" s="1"/>
  <c r="X61" i="52" s="1"/>
  <c r="Z61" i="52" s="1"/>
  <c r="Y61" i="52" s="1"/>
  <c r="AB61" i="52" s="1"/>
  <c r="X62" i="52" s="1"/>
  <c r="Z62" i="52" s="1"/>
  <c r="Y62" i="52" s="1"/>
  <c r="AB62" i="52" s="1"/>
  <c r="X63" i="52" s="1"/>
  <c r="Z63" i="52" s="1"/>
  <c r="Y63" i="52" s="1"/>
  <c r="AB63" i="52" s="1"/>
  <c r="X64" i="52" s="1"/>
  <c r="Z64" i="52" s="1"/>
  <c r="Y64" i="52" s="1"/>
  <c r="AB64" i="52" s="1"/>
  <c r="X65" i="52" s="1"/>
  <c r="Z65" i="52" s="1"/>
  <c r="Y65" i="52" s="1"/>
  <c r="AB65" i="52" s="1"/>
  <c r="X66" i="52" s="1"/>
  <c r="Z66" i="52" s="1"/>
  <c r="Y66" i="52" s="1"/>
  <c r="AB66" i="52" s="1"/>
  <c r="X67" i="52" s="1"/>
  <c r="Z67" i="52" s="1"/>
  <c r="Y67" i="52" s="1"/>
  <c r="AB67" i="52" s="1"/>
  <c r="X68" i="52" s="1"/>
  <c r="Z68" i="52" s="1"/>
  <c r="Y68" i="52" s="1"/>
  <c r="AB68" i="52" s="1"/>
  <c r="X69" i="52" s="1"/>
  <c r="Z69" i="52" s="1"/>
  <c r="Y69" i="52" s="1"/>
  <c r="AB69" i="52" s="1"/>
  <c r="X70" i="52" s="1"/>
  <c r="Z70" i="52" s="1"/>
  <c r="Y70" i="52" s="1"/>
  <c r="AB70" i="52" s="1"/>
  <c r="X71" i="52" s="1"/>
  <c r="Z71" i="52" s="1"/>
  <c r="Y71" i="52" s="1"/>
  <c r="AB71" i="52" s="1"/>
  <c r="X72" i="52" s="1"/>
  <c r="Z72" i="52" s="1"/>
  <c r="Y72" i="52" s="1"/>
  <c r="AB72" i="52" s="1"/>
  <c r="X73" i="52" s="1"/>
  <c r="Z73" i="52" s="1"/>
  <c r="Y73" i="52" s="1"/>
  <c r="AB73" i="52" s="1"/>
  <c r="X74" i="52" s="1"/>
  <c r="Z74" i="52" s="1"/>
  <c r="Y74" i="52" s="1"/>
  <c r="AB74" i="52" s="1"/>
  <c r="X75" i="52" s="1"/>
  <c r="Z75" i="52" s="1"/>
  <c r="Y75" i="52" s="1"/>
  <c r="AB75" i="52" s="1"/>
  <c r="X76" i="52" s="1"/>
  <c r="Z76" i="52" s="1"/>
  <c r="Y76" i="52" s="1"/>
  <c r="AB76" i="52" s="1"/>
  <c r="X77" i="52" s="1"/>
  <c r="Z77" i="52" s="1"/>
  <c r="Y77" i="52" s="1"/>
  <c r="AB77" i="52" s="1"/>
  <c r="X78" i="52" s="1"/>
  <c r="Z78" i="52" s="1"/>
  <c r="Y78" i="52" s="1"/>
  <c r="AB78" i="52" s="1"/>
  <c r="X79" i="52" s="1"/>
  <c r="Z79" i="52" s="1"/>
  <c r="Y79" i="52" s="1"/>
  <c r="AB79" i="52" s="1"/>
  <c r="X80" i="52" s="1"/>
  <c r="Z80" i="52" s="1"/>
  <c r="Y80" i="52" s="1"/>
  <c r="AB80" i="52" s="1"/>
  <c r="X81" i="52" s="1"/>
  <c r="Z81" i="52" s="1"/>
  <c r="Y81" i="52" s="1"/>
  <c r="AB81" i="52" s="1"/>
  <c r="X82" i="52" s="1"/>
  <c r="Z82" i="52" s="1"/>
  <c r="Y82" i="52" s="1"/>
  <c r="AB82" i="52" s="1"/>
  <c r="X83" i="52" s="1"/>
  <c r="Z83" i="52" s="1"/>
  <c r="Y83" i="52" s="1"/>
  <c r="AB83" i="52" s="1"/>
  <c r="X84" i="52" s="1"/>
  <c r="Z84" i="52" s="1"/>
  <c r="Y84" i="52" s="1"/>
  <c r="AB84" i="52" s="1"/>
  <c r="X85" i="52" s="1"/>
  <c r="Z85" i="52" s="1"/>
  <c r="Y85" i="52" s="1"/>
  <c r="AB85" i="52" s="1"/>
  <c r="X86" i="52" s="1"/>
  <c r="Z86" i="52" s="1"/>
  <c r="Y86" i="52" s="1"/>
  <c r="AB86" i="52" s="1"/>
  <c r="X87" i="52" s="1"/>
  <c r="J28" i="52" l="1"/>
  <c r="S32" i="52"/>
  <c r="I28" i="52"/>
  <c r="K32" i="52"/>
  <c r="M32" i="52" s="1"/>
  <c r="Z87" i="52"/>
  <c r="Y87" i="52" s="1"/>
  <c r="AB87" i="52" s="1"/>
  <c r="X88" i="52" s="1"/>
  <c r="J32" i="52" l="1"/>
  <c r="U32" i="56" s="1"/>
  <c r="Z88" i="52"/>
  <c r="Y88" i="52" s="1"/>
  <c r="AB88" i="52" s="1"/>
  <c r="X89" i="52" s="1"/>
  <c r="R32" i="52" l="1"/>
  <c r="I33" i="52" s="1"/>
  <c r="S33" i="52" s="1"/>
  <c r="N32" i="52"/>
  <c r="Q32" i="52" s="1"/>
  <c r="H13" i="49" s="1"/>
  <c r="Z89" i="52"/>
  <c r="Y89" i="52" s="1"/>
  <c r="AB89" i="52" s="1"/>
  <c r="X90" i="52" s="1"/>
  <c r="R30" i="52" l="1"/>
  <c r="K33" i="52"/>
  <c r="M33" i="52" s="1"/>
  <c r="Z90" i="52"/>
  <c r="Y90" i="52" s="1"/>
  <c r="AB90" i="52" s="1"/>
  <c r="X91" i="52" s="1"/>
  <c r="J33" i="52" l="1"/>
  <c r="U33" i="56" s="1"/>
  <c r="Z91" i="52"/>
  <c r="Y91" i="52" s="1"/>
  <c r="AB91" i="52" s="1"/>
  <c r="X92" i="52" s="1"/>
  <c r="R33" i="52" l="1"/>
  <c r="I34" i="52" s="1"/>
  <c r="S34" i="52" s="1"/>
  <c r="N33" i="52"/>
  <c r="Q33" i="52" s="1"/>
  <c r="Z92" i="52"/>
  <c r="Y92" i="52" s="1"/>
  <c r="AB92" i="52" s="1"/>
  <c r="X93" i="52" s="1"/>
  <c r="K34" i="52" l="1"/>
  <c r="M34" i="52" s="1"/>
  <c r="Z93" i="52"/>
  <c r="Y93" i="52" s="1"/>
  <c r="AB93" i="52" s="1"/>
  <c r="X94" i="52" s="1"/>
  <c r="J34" i="52" l="1"/>
  <c r="N34" i="52" s="1"/>
  <c r="Q34" i="52" s="1"/>
  <c r="Z94" i="52"/>
  <c r="Y94" i="52" s="1"/>
  <c r="AB94" i="52" s="1"/>
  <c r="X95" i="52" s="1"/>
  <c r="U34" i="56" l="1"/>
  <c r="R34" i="52"/>
  <c r="I35" i="52" s="1"/>
  <c r="K35" i="52" s="1"/>
  <c r="Z95" i="52"/>
  <c r="Y95" i="52" s="1"/>
  <c r="AB95" i="52" s="1"/>
  <c r="X96" i="52" s="1"/>
  <c r="S35" i="52" l="1"/>
  <c r="M35" i="52"/>
  <c r="J35" i="52"/>
  <c r="Z96" i="52"/>
  <c r="Y96" i="52" s="1"/>
  <c r="AB96" i="52" s="1"/>
  <c r="X97" i="52" s="1"/>
  <c r="N35" i="52" l="1"/>
  <c r="Q35" i="52" s="1"/>
  <c r="U35" i="56"/>
  <c r="R35" i="52"/>
  <c r="I36" i="52" s="1"/>
  <c r="Z97" i="52"/>
  <c r="Y97" i="52" s="1"/>
  <c r="AB97" i="52" s="1"/>
  <c r="X98" i="52" s="1"/>
  <c r="K36" i="52" l="1"/>
  <c r="S36" i="52"/>
  <c r="Z98" i="52"/>
  <c r="Y98" i="52" s="1"/>
  <c r="AB98" i="52" s="1"/>
  <c r="X99" i="52" s="1"/>
  <c r="M36" i="52" l="1"/>
  <c r="J36" i="52"/>
  <c r="Z99" i="52"/>
  <c r="Y99" i="52" s="1"/>
  <c r="AB99" i="52" s="1"/>
  <c r="X100" i="52" s="1"/>
  <c r="U36" i="56" l="1"/>
  <c r="N36" i="52"/>
  <c r="Q36" i="52" s="1"/>
  <c r="R36" i="52"/>
  <c r="I37" i="52" s="1"/>
  <c r="Z100" i="52"/>
  <c r="Y100" i="52" s="1"/>
  <c r="AB100" i="52" s="1"/>
  <c r="X101" i="52" s="1"/>
  <c r="S37" i="52" l="1"/>
  <c r="K37" i="52"/>
  <c r="Z101" i="52"/>
  <c r="Y101" i="52" s="1"/>
  <c r="AB101" i="52" s="1"/>
  <c r="X102" i="52" s="1"/>
  <c r="M37" i="52" l="1"/>
  <c r="K29" i="52"/>
  <c r="J37" i="52"/>
  <c r="Z102" i="52"/>
  <c r="Y102" i="52" s="1"/>
  <c r="AB102" i="52" s="1"/>
  <c r="X103" i="52" s="1"/>
  <c r="N37" i="52" l="1"/>
  <c r="Q37" i="52" s="1"/>
  <c r="U37" i="56"/>
  <c r="R37" i="52"/>
  <c r="I38" i="52" s="1"/>
  <c r="Z103" i="52"/>
  <c r="Y103" i="52" s="1"/>
  <c r="AB103" i="52" s="1"/>
  <c r="S38" i="52" l="1"/>
  <c r="K38" i="52"/>
  <c r="M38" i="52" l="1"/>
  <c r="J38" i="52"/>
  <c r="N38" i="52" l="1"/>
  <c r="Q38" i="52" s="1"/>
  <c r="U38" i="56"/>
  <c r="R38" i="52"/>
  <c r="I39" i="52" s="1"/>
  <c r="S39" i="52" l="1"/>
  <c r="K39" i="52"/>
  <c r="M39" i="52" l="1"/>
  <c r="J39" i="52"/>
  <c r="N39" i="52" l="1"/>
  <c r="Q39" i="52" s="1"/>
  <c r="U39" i="56"/>
  <c r="R39" i="52"/>
  <c r="I40" i="52" s="1"/>
  <c r="S40" i="52" l="1"/>
  <c r="K40" i="52"/>
  <c r="M40" i="52" l="1"/>
  <c r="J40" i="52"/>
  <c r="N40" i="52" l="1"/>
  <c r="Q40" i="52" s="1"/>
  <c r="U40" i="56"/>
  <c r="R40" i="52"/>
  <c r="I41" i="52" s="1"/>
  <c r="S41" i="52" l="1"/>
  <c r="K41" i="52"/>
  <c r="M41" i="52" l="1"/>
  <c r="J41" i="52"/>
  <c r="U41" i="56" l="1"/>
  <c r="N41" i="52"/>
  <c r="Q41" i="52" s="1"/>
  <c r="R41" i="52"/>
  <c r="I42" i="52" s="1"/>
  <c r="S42" i="52" l="1"/>
  <c r="K42" i="52"/>
  <c r="M42" i="52" l="1"/>
  <c r="J42" i="52"/>
  <c r="N42" i="52" l="1"/>
  <c r="Q42" i="52" s="1"/>
  <c r="U42" i="56"/>
  <c r="R42" i="52"/>
  <c r="I43" i="52" s="1"/>
  <c r="S43" i="52" l="1"/>
  <c r="K43" i="52"/>
  <c r="M43" i="52" l="1"/>
  <c r="J43" i="52"/>
  <c r="N43" i="52" l="1"/>
  <c r="Q43" i="52" s="1"/>
  <c r="U43" i="56"/>
  <c r="R43" i="52"/>
  <c r="I44" i="52" s="1"/>
  <c r="S44" i="52" l="1"/>
  <c r="K44" i="52"/>
  <c r="J44" i="52" l="1"/>
  <c r="M44" i="52"/>
  <c r="U44" i="56" l="1"/>
  <c r="N44" i="52"/>
  <c r="Q44" i="52" s="1"/>
  <c r="R44" i="52"/>
  <c r="I45" i="52" s="1"/>
  <c r="K45" i="52" l="1"/>
  <c r="S45" i="52"/>
  <c r="J45" i="52" l="1"/>
  <c r="M45" i="52"/>
  <c r="N45" i="52" l="1"/>
  <c r="Q45" i="52" s="1"/>
  <c r="U45" i="56"/>
  <c r="R45" i="52"/>
  <c r="I46" i="52" s="1"/>
  <c r="K46" i="52" l="1"/>
  <c r="S46" i="52"/>
  <c r="P26" i="52" s="1"/>
  <c r="Q26" i="52" s="1"/>
  <c r="J46" i="52" l="1"/>
  <c r="M46" i="52"/>
  <c r="N46" i="52" l="1"/>
  <c r="Q46" i="52" s="1"/>
  <c r="U46" i="56"/>
  <c r="R46" i="52"/>
  <c r="I47" i="52" s="1"/>
  <c r="K47" i="52" l="1"/>
  <c r="S47" i="52"/>
  <c r="M47" i="52" l="1"/>
  <c r="J47" i="52"/>
  <c r="N47" i="52" l="1"/>
  <c r="Q47" i="52" s="1"/>
  <c r="U47" i="56"/>
  <c r="R47" i="52"/>
  <c r="I48" i="52" s="1"/>
  <c r="S48" i="52" l="1"/>
  <c r="K48" i="52"/>
  <c r="M48" i="52" l="1"/>
  <c r="J48" i="52"/>
  <c r="N48" i="52" l="1"/>
  <c r="Q48" i="52" s="1"/>
  <c r="U48" i="56"/>
  <c r="R48" i="52"/>
  <c r="I49" i="52" s="1"/>
  <c r="S49" i="52" l="1"/>
  <c r="K49" i="52"/>
  <c r="M49" i="52" l="1"/>
  <c r="J49" i="52"/>
  <c r="U49" i="56" l="1"/>
  <c r="N49" i="52"/>
  <c r="Q49" i="52" s="1"/>
  <c r="R49" i="52"/>
  <c r="I50" i="52" s="1"/>
  <c r="K50" i="52" l="1"/>
  <c r="S50" i="52"/>
  <c r="J50" i="52" l="1"/>
  <c r="M50" i="52"/>
  <c r="U50" i="56" l="1"/>
  <c r="N50" i="52"/>
  <c r="Q50" i="52" s="1"/>
  <c r="R50" i="52"/>
  <c r="I51" i="52" s="1"/>
  <c r="S51" i="52" l="1"/>
  <c r="K51" i="52"/>
  <c r="J51" i="52" l="1"/>
  <c r="M51" i="52"/>
  <c r="N51" i="52" l="1"/>
  <c r="Q51" i="52" s="1"/>
  <c r="U51" i="56"/>
  <c r="R51" i="52"/>
  <c r="I52" i="52" s="1"/>
  <c r="K52" i="52" l="1"/>
  <c r="S52" i="52"/>
  <c r="M52" i="52" l="1"/>
  <c r="J52" i="52"/>
  <c r="U52" i="56" l="1"/>
  <c r="N52" i="52"/>
  <c r="Q52" i="52" s="1"/>
  <c r="R52" i="52"/>
  <c r="I53" i="52" s="1"/>
  <c r="S53" i="52" l="1"/>
  <c r="K53" i="52"/>
  <c r="M53" i="52" l="1"/>
  <c r="J53" i="52"/>
  <c r="N53" i="52" l="1"/>
  <c r="Q53" i="52" s="1"/>
  <c r="U53" i="56"/>
  <c r="R53" i="52"/>
  <c r="I54" i="52" s="1"/>
  <c r="K54" i="52" l="1"/>
  <c r="S54" i="52"/>
  <c r="M54" i="52" l="1"/>
  <c r="J54" i="52"/>
  <c r="U54" i="56" l="1"/>
  <c r="N54" i="52"/>
  <c r="Q54" i="52" s="1"/>
  <c r="R54" i="52"/>
  <c r="I55" i="52" s="1"/>
  <c r="K55" i="52" l="1"/>
  <c r="S55" i="52"/>
  <c r="J55" i="52" l="1"/>
  <c r="M55" i="52"/>
  <c r="U55" i="56" l="1"/>
  <c r="N55" i="52"/>
  <c r="Q55" i="52" s="1"/>
  <c r="R55" i="52"/>
  <c r="I56" i="52" l="1"/>
  <c r="R28" i="52"/>
  <c r="S56" i="52" l="1"/>
  <c r="K56" i="52"/>
  <c r="M56" i="52" l="1"/>
  <c r="J56" i="52"/>
  <c r="N56" i="52" l="1"/>
  <c r="Q56" i="52" s="1"/>
  <c r="R56" i="52"/>
  <c r="I57" i="52" s="1"/>
  <c r="S57" i="52" l="1"/>
  <c r="K57" i="52"/>
  <c r="J57" i="52" l="1"/>
  <c r="M57" i="52"/>
  <c r="N57" i="52" l="1"/>
  <c r="Q57" i="52" s="1"/>
  <c r="R57" i="52"/>
  <c r="I58" i="52" s="1"/>
  <c r="K58" i="52" l="1"/>
  <c r="S58" i="52"/>
  <c r="M58" i="52" l="1"/>
  <c r="J58" i="52"/>
  <c r="N58" i="52" l="1"/>
  <c r="Q58" i="52" s="1"/>
  <c r="R58" i="52"/>
  <c r="I59" i="52" s="1"/>
  <c r="S59" i="52" l="1"/>
  <c r="K59" i="52"/>
  <c r="M59" i="52" l="1"/>
  <c r="J59" i="52"/>
  <c r="N59" i="52" l="1"/>
  <c r="Q59" i="52" s="1"/>
  <c r="R59" i="52"/>
  <c r="I60" i="52" s="1"/>
  <c r="S60" i="52" l="1"/>
  <c r="K60" i="52"/>
  <c r="J60" i="52" l="1"/>
  <c r="M60" i="52"/>
  <c r="N60" i="52" l="1"/>
  <c r="Q60" i="52" s="1"/>
  <c r="R60" i="52"/>
  <c r="I61" i="52" s="1"/>
  <c r="K61" i="52" l="1"/>
  <c r="S61" i="52"/>
  <c r="J61" i="52" l="1"/>
  <c r="M61" i="52"/>
  <c r="N61" i="52" l="1"/>
  <c r="Q61" i="52" s="1"/>
  <c r="R61" i="52"/>
  <c r="I62" i="52" s="1"/>
  <c r="S62" i="52" l="1"/>
  <c r="K62" i="52"/>
  <c r="J62" i="52" l="1"/>
  <c r="M62" i="52"/>
  <c r="N62" i="52" l="1"/>
  <c r="Q62" i="52" s="1"/>
  <c r="R62" i="52"/>
  <c r="I63" i="52" s="1"/>
  <c r="K63" i="52" l="1"/>
  <c r="S63" i="52"/>
  <c r="M63" i="52" l="1"/>
  <c r="J63" i="52"/>
  <c r="N63" i="52" l="1"/>
  <c r="Q63" i="52" s="1"/>
  <c r="R63" i="52"/>
  <c r="I64" i="52" s="1"/>
  <c r="S64" i="52" l="1"/>
  <c r="K64" i="52"/>
  <c r="M64" i="52" l="1"/>
  <c r="J64" i="52"/>
  <c r="N64" i="52" l="1"/>
  <c r="Q64" i="52" s="1"/>
  <c r="R64" i="52"/>
  <c r="I65" i="52" s="1"/>
  <c r="S65" i="52" l="1"/>
  <c r="K65" i="52"/>
  <c r="M65" i="52" l="1"/>
  <c r="J65" i="52"/>
  <c r="N65" i="52" l="1"/>
  <c r="Q65" i="52" s="1"/>
  <c r="R65" i="52"/>
  <c r="I66" i="52" s="1"/>
  <c r="S66" i="52" l="1"/>
  <c r="K66" i="52"/>
  <c r="J66" i="52" l="1"/>
  <c r="M66" i="52"/>
  <c r="N66" i="52" l="1"/>
  <c r="Q66" i="52" s="1"/>
  <c r="R66" i="52"/>
  <c r="I67" i="52" s="1"/>
  <c r="K67" i="52" l="1"/>
  <c r="S67" i="52"/>
  <c r="M67" i="52" l="1"/>
  <c r="J67" i="52"/>
  <c r="N67" i="52" l="1"/>
  <c r="Q67" i="52" s="1"/>
  <c r="R67" i="52"/>
  <c r="I68" i="52" s="1"/>
  <c r="K68" i="52" l="1"/>
  <c r="S68" i="52"/>
  <c r="M68" i="52" l="1"/>
  <c r="J68" i="52"/>
  <c r="N68" i="52" l="1"/>
  <c r="Q68" i="52" s="1"/>
  <c r="R68" i="52"/>
  <c r="I69" i="52" s="1"/>
  <c r="S69" i="52" l="1"/>
  <c r="K69" i="52"/>
  <c r="J69" i="52" l="1"/>
  <c r="M69" i="52"/>
  <c r="N69" i="52" l="1"/>
  <c r="Q69" i="52" s="1"/>
  <c r="R69" i="52"/>
  <c r="I70" i="52" s="1"/>
  <c r="K70" i="52" l="1"/>
  <c r="S70" i="52"/>
  <c r="J70" i="52" l="1"/>
  <c r="M70" i="52"/>
  <c r="N70" i="52" l="1"/>
  <c r="Q70" i="52" s="1"/>
  <c r="R70" i="52"/>
  <c r="I71" i="52" s="1"/>
  <c r="K71" i="52" l="1"/>
  <c r="S71" i="52"/>
  <c r="M71" i="52" l="1"/>
  <c r="J71" i="52"/>
  <c r="N71" i="52" l="1"/>
  <c r="Q71" i="52" s="1"/>
  <c r="R71" i="52"/>
  <c r="I72" i="52" s="1"/>
  <c r="K72" i="52" l="1"/>
  <c r="S72" i="52"/>
  <c r="J72" i="52" l="1"/>
  <c r="M72" i="52"/>
  <c r="N72" i="52" l="1"/>
  <c r="Q72" i="52" s="1"/>
  <c r="R72" i="52"/>
  <c r="I73" i="52" s="1"/>
  <c r="S73" i="52" l="1"/>
  <c r="K73" i="52"/>
  <c r="J73" i="52" l="1"/>
  <c r="M73" i="52"/>
  <c r="N73" i="52" l="1"/>
  <c r="Q73" i="52" s="1"/>
  <c r="R73" i="52"/>
  <c r="I74" i="52" s="1"/>
  <c r="S74" i="52" l="1"/>
  <c r="K74" i="52"/>
  <c r="J74" i="52" l="1"/>
  <c r="M74" i="52"/>
  <c r="N74" i="52" l="1"/>
  <c r="Q74" i="52" s="1"/>
  <c r="R74" i="52"/>
  <c r="I75" i="52" s="1"/>
  <c r="S75" i="52" l="1"/>
  <c r="K75" i="52"/>
  <c r="M75" i="52" l="1"/>
  <c r="J75" i="52"/>
  <c r="N75" i="52" l="1"/>
  <c r="Q75" i="52" s="1"/>
  <c r="R75" i="52"/>
  <c r="I76" i="52" s="1"/>
  <c r="S76" i="52" l="1"/>
  <c r="K76" i="52"/>
  <c r="M76" i="52" l="1"/>
  <c r="J76" i="52"/>
  <c r="N76" i="52" l="1"/>
  <c r="Q76" i="52" s="1"/>
  <c r="R76" i="52"/>
  <c r="I77" i="52" s="1"/>
  <c r="K77" i="52" l="1"/>
  <c r="S77" i="52"/>
  <c r="M77" i="52" l="1"/>
  <c r="J77" i="52"/>
  <c r="N77" i="52" l="1"/>
  <c r="Q77" i="52" s="1"/>
  <c r="R77" i="52"/>
  <c r="I78" i="52" s="1"/>
  <c r="S78" i="52" l="1"/>
  <c r="K78" i="52"/>
  <c r="M78" i="52" l="1"/>
  <c r="J78" i="52"/>
  <c r="N78" i="52" l="1"/>
  <c r="Q78" i="52" s="1"/>
  <c r="R78" i="52"/>
  <c r="I79" i="52" s="1"/>
  <c r="S79" i="52" l="1"/>
  <c r="K79" i="52"/>
  <c r="M79" i="52" l="1"/>
  <c r="J79" i="52"/>
  <c r="N79" i="52" l="1"/>
  <c r="Q79" i="52" s="1"/>
  <c r="R79" i="52"/>
  <c r="I80" i="52" s="1"/>
  <c r="S80" i="52" l="1"/>
  <c r="K80" i="52"/>
  <c r="M80" i="52" l="1"/>
  <c r="J80" i="52"/>
  <c r="N80" i="52" l="1"/>
  <c r="Q80" i="52" s="1"/>
  <c r="R80" i="52"/>
  <c r="I81" i="52" s="1"/>
  <c r="K81" i="52" l="1"/>
  <c r="S81" i="52"/>
  <c r="M81" i="52" l="1"/>
  <c r="J81" i="52"/>
  <c r="N81" i="52" l="1"/>
  <c r="Q81" i="52" s="1"/>
  <c r="R81" i="52"/>
  <c r="I82" i="52" s="1"/>
  <c r="S82" i="52" l="1"/>
  <c r="K82" i="52"/>
  <c r="M82" i="52" l="1"/>
  <c r="J82" i="52"/>
  <c r="N82" i="52" l="1"/>
  <c r="Q82" i="52" s="1"/>
  <c r="R82" i="52"/>
  <c r="I83" i="52" s="1"/>
  <c r="S83" i="52" l="1"/>
  <c r="K83" i="52"/>
  <c r="M83" i="52" l="1"/>
  <c r="J83" i="52"/>
  <c r="N83" i="52" l="1"/>
  <c r="Q83" i="52" s="1"/>
  <c r="R83" i="52"/>
  <c r="I84" i="52" s="1"/>
  <c r="S84" i="52" l="1"/>
  <c r="K84" i="52"/>
  <c r="M84" i="52" l="1"/>
  <c r="J84" i="52"/>
  <c r="N84" i="52" l="1"/>
  <c r="Q84" i="52" s="1"/>
  <c r="R84" i="52"/>
  <c r="I85" i="52" s="1"/>
  <c r="S85" i="52" l="1"/>
  <c r="K85" i="52"/>
  <c r="M85" i="52" l="1"/>
  <c r="J85" i="52"/>
  <c r="N85" i="52" l="1"/>
  <c r="Q85" i="52" s="1"/>
  <c r="R85" i="52"/>
  <c r="I86" i="52" s="1"/>
  <c r="K86" i="52" l="1"/>
  <c r="S86" i="52"/>
  <c r="J86" i="52" l="1"/>
  <c r="M86" i="52"/>
  <c r="N86" i="52" l="1"/>
  <c r="Q86" i="52" s="1"/>
  <c r="R86" i="52"/>
  <c r="I87" i="52" s="1"/>
  <c r="S87" i="52" l="1"/>
  <c r="K87" i="52"/>
  <c r="M87" i="52" l="1"/>
  <c r="J87" i="52"/>
  <c r="N87" i="52" l="1"/>
  <c r="Q87" i="52" s="1"/>
  <c r="R87" i="52"/>
  <c r="I88" i="52" s="1"/>
  <c r="K88" i="52" l="1"/>
  <c r="S88" i="52"/>
  <c r="M88" i="52" l="1"/>
  <c r="J88" i="52"/>
  <c r="N88" i="52" l="1"/>
  <c r="Q88" i="52" s="1"/>
  <c r="R88" i="52"/>
  <c r="I89" i="52" s="1"/>
  <c r="S89" i="52" l="1"/>
  <c r="K89" i="52"/>
  <c r="J89" i="52" l="1"/>
  <c r="M89" i="52"/>
  <c r="N89" i="52" l="1"/>
  <c r="Q89" i="52" s="1"/>
  <c r="R89" i="52"/>
  <c r="I90" i="52" s="1"/>
  <c r="S90" i="52" l="1"/>
  <c r="K90" i="52"/>
  <c r="M90" i="52" l="1"/>
  <c r="J90" i="52"/>
  <c r="N90" i="52" l="1"/>
  <c r="Q90" i="52" s="1"/>
  <c r="R90" i="52"/>
  <c r="I91" i="52" s="1"/>
  <c r="S91" i="52" l="1"/>
  <c r="K91" i="52"/>
  <c r="M91" i="52" l="1"/>
  <c r="J91" i="52"/>
  <c r="N91" i="52" l="1"/>
  <c r="Q91" i="52" s="1"/>
  <c r="R91" i="52"/>
  <c r="I92" i="52" s="1"/>
  <c r="S92" i="52" l="1"/>
  <c r="K92" i="52"/>
  <c r="M92" i="52" l="1"/>
  <c r="J92" i="52"/>
  <c r="N92" i="52" l="1"/>
  <c r="Q92" i="52" s="1"/>
  <c r="R92" i="52"/>
  <c r="I93" i="52" s="1"/>
  <c r="S93" i="52" l="1"/>
  <c r="K93" i="52"/>
  <c r="M93" i="52" l="1"/>
  <c r="J93" i="52"/>
  <c r="N93" i="52" l="1"/>
  <c r="Q93" i="52" s="1"/>
  <c r="R93" i="52"/>
  <c r="I94" i="52" s="1"/>
  <c r="S94" i="52" l="1"/>
  <c r="K94" i="52"/>
  <c r="M94" i="52" l="1"/>
  <c r="J94" i="52"/>
  <c r="N94" i="52" l="1"/>
  <c r="Q94" i="52" s="1"/>
  <c r="R94" i="52"/>
  <c r="I95" i="52" s="1"/>
  <c r="S95" i="52" l="1"/>
  <c r="K95" i="52"/>
  <c r="M95" i="52" l="1"/>
  <c r="J95" i="52"/>
  <c r="N95" i="52" l="1"/>
  <c r="Q95" i="52" s="1"/>
  <c r="R95" i="52"/>
  <c r="I96" i="52" s="1"/>
  <c r="S96" i="52" l="1"/>
  <c r="K96" i="52"/>
  <c r="M96" i="52" l="1"/>
  <c r="J96" i="52"/>
  <c r="N96" i="52" l="1"/>
  <c r="Q96" i="52" s="1"/>
  <c r="R96" i="52"/>
  <c r="I97" i="52" s="1"/>
  <c r="S97" i="52" l="1"/>
  <c r="K97" i="52"/>
  <c r="M97" i="52" l="1"/>
  <c r="J97" i="52"/>
  <c r="N97" i="52" l="1"/>
  <c r="Q97" i="52" s="1"/>
  <c r="R97" i="52"/>
  <c r="I98" i="52" s="1"/>
  <c r="S98" i="52" l="1"/>
  <c r="K98" i="52"/>
  <c r="M98" i="52" l="1"/>
  <c r="J98" i="52"/>
  <c r="N98" i="52" l="1"/>
  <c r="Q98" i="52" s="1"/>
  <c r="R98" i="52"/>
  <c r="I99" i="52" s="1"/>
  <c r="S99" i="52" l="1"/>
  <c r="K99" i="52"/>
  <c r="M99" i="52" l="1"/>
  <c r="J99" i="52"/>
  <c r="N99" i="52" l="1"/>
  <c r="Q99" i="52" s="1"/>
  <c r="R99" i="52"/>
  <c r="I100" i="52" s="1"/>
  <c r="S100" i="52" l="1"/>
  <c r="K100" i="52"/>
  <c r="M100" i="52" l="1"/>
  <c r="J100" i="52"/>
  <c r="N100" i="52" l="1"/>
  <c r="Q100" i="52" s="1"/>
  <c r="R100" i="52"/>
  <c r="I101" i="52" s="1"/>
  <c r="K101" i="52" l="1"/>
  <c r="S101" i="52"/>
  <c r="M101" i="52" l="1"/>
  <c r="J101" i="52"/>
  <c r="N101" i="52" l="1"/>
  <c r="Q101" i="52" s="1"/>
  <c r="R101" i="52"/>
  <c r="I102" i="52" s="1"/>
  <c r="S102" i="52" l="1"/>
  <c r="K102" i="52"/>
  <c r="J102" i="52" l="1"/>
  <c r="M102" i="52"/>
  <c r="C35" i="54"/>
  <c r="E36" i="54" s="1"/>
  <c r="C23" i="57" s="1"/>
  <c r="D34" i="54"/>
  <c r="AH34" i="54"/>
  <c r="M34" i="54"/>
  <c r="I34" i="54"/>
  <c r="N102" i="52" l="1"/>
  <c r="Q102" i="52" s="1"/>
  <c r="R102" i="52"/>
  <c r="I103" i="52" s="1"/>
  <c r="Z34" i="54"/>
  <c r="AH35" i="54"/>
  <c r="D35" i="54"/>
  <c r="M35" i="54"/>
  <c r="I35" i="54"/>
  <c r="S103" i="52" l="1"/>
  <c r="K103" i="52"/>
  <c r="D13" i="49" s="1"/>
  <c r="C36" i="54"/>
  <c r="E37" i="54" s="1"/>
  <c r="C24" i="57" s="1"/>
  <c r="AA34" i="54"/>
  <c r="Z35" i="54"/>
  <c r="J103" i="52" l="1"/>
  <c r="J105" i="52" s="1"/>
  <c r="J106" i="52" s="1"/>
  <c r="M103" i="52"/>
  <c r="AH36" i="54"/>
  <c r="M36" i="54"/>
  <c r="D36" i="54"/>
  <c r="I36" i="54"/>
  <c r="Z36" i="54" s="1"/>
  <c r="AA35" i="54"/>
  <c r="N103" i="52" l="1"/>
  <c r="Q103" i="52" s="1"/>
  <c r="F13" i="49" s="1"/>
  <c r="R103" i="52"/>
  <c r="AA36" i="54"/>
  <c r="C37" i="54"/>
  <c r="E38" i="54" s="1"/>
  <c r="C25" i="57" s="1"/>
  <c r="P22" i="52" l="1"/>
  <c r="R21" i="52"/>
  <c r="D37" i="54"/>
  <c r="M37" i="54"/>
  <c r="AH37" i="54"/>
  <c r="I37" i="54"/>
  <c r="P27" i="52" l="1"/>
  <c r="P24" i="52"/>
  <c r="P25" i="52" s="1"/>
  <c r="S24" i="52"/>
  <c r="Z37" i="54"/>
  <c r="C38" i="54"/>
  <c r="E39" i="54" s="1"/>
  <c r="C26" i="57" s="1"/>
  <c r="E31" i="54" l="1"/>
  <c r="F31" i="54"/>
  <c r="AH38" i="54"/>
  <c r="M38" i="54"/>
  <c r="D38" i="54"/>
  <c r="I38" i="54"/>
  <c r="Z38" i="54" s="1"/>
  <c r="AA37" i="54"/>
  <c r="C39" i="54" l="1"/>
  <c r="E40" i="54" s="1"/>
  <c r="C27" i="57" s="1"/>
  <c r="AA38" i="54"/>
  <c r="C40" i="54" l="1"/>
  <c r="E41" i="54" s="1"/>
  <c r="C28" i="57" s="1"/>
  <c r="K30" i="54"/>
  <c r="H29" i="54"/>
  <c r="D39" i="54"/>
  <c r="M39" i="54"/>
  <c r="AH39" i="54"/>
  <c r="I39" i="54"/>
  <c r="Z39" i="54" l="1"/>
  <c r="C41" i="54"/>
  <c r="E42" i="54" s="1"/>
  <c r="C29" i="57" s="1"/>
  <c r="D40" i="54" l="1"/>
  <c r="M40" i="54"/>
  <c r="AH40" i="54"/>
  <c r="I40" i="54"/>
  <c r="Z40" i="54" s="1"/>
  <c r="AA39" i="54"/>
  <c r="AA40" i="54" l="1"/>
  <c r="M41" i="54" l="1"/>
  <c r="AH41" i="54"/>
  <c r="D41" i="54"/>
  <c r="I41" i="54"/>
  <c r="C42" i="54" l="1"/>
  <c r="E43" i="54" s="1"/>
  <c r="C30" i="57" s="1"/>
  <c r="Z41" i="54"/>
  <c r="AA41" i="54" l="1"/>
  <c r="M42" i="54"/>
  <c r="AH42" i="54"/>
  <c r="D42" i="54"/>
  <c r="I42" i="54"/>
  <c r="C43" i="54" l="1"/>
  <c r="E44" i="54" s="1"/>
  <c r="C31" i="57" s="1"/>
  <c r="Z42" i="54"/>
  <c r="AA42" i="54" l="1"/>
  <c r="AH43" i="54"/>
  <c r="M43" i="54"/>
  <c r="D43" i="54"/>
  <c r="I43" i="54"/>
  <c r="C44" i="54" l="1"/>
  <c r="E45" i="54" s="1"/>
  <c r="C32" i="57" s="1"/>
  <c r="Z43" i="54"/>
  <c r="AA43" i="54" l="1"/>
  <c r="AH44" i="54"/>
  <c r="M44" i="54"/>
  <c r="D44" i="54"/>
  <c r="I44" i="54"/>
  <c r="C45" i="54" l="1"/>
  <c r="E46" i="54" s="1"/>
  <c r="C33" i="57" s="1"/>
  <c r="Z44" i="54"/>
  <c r="AA44" i="54" l="1"/>
  <c r="D45" i="54"/>
  <c r="M45" i="54"/>
  <c r="AH45" i="54"/>
  <c r="I45" i="54"/>
  <c r="C46" i="54" l="1"/>
  <c r="E47" i="54" s="1"/>
  <c r="C34" i="57" s="1"/>
  <c r="Z45" i="54"/>
  <c r="AA45" i="54" l="1"/>
  <c r="D46" i="54"/>
  <c r="M46" i="54"/>
  <c r="AH46" i="54"/>
  <c r="I46" i="54"/>
  <c r="Z46" i="54" l="1"/>
  <c r="C47" i="54"/>
  <c r="E48" i="54" s="1"/>
  <c r="C35" i="57" s="1"/>
  <c r="M47" i="54" l="1"/>
  <c r="D47" i="54"/>
  <c r="AH47" i="54"/>
  <c r="I47" i="54"/>
  <c r="Z47" i="54" s="1"/>
  <c r="AA46" i="54"/>
  <c r="AA47" i="54" l="1"/>
  <c r="C48" i="54"/>
  <c r="E49" i="54" s="1"/>
  <c r="C36" i="57" s="1"/>
  <c r="D48" i="54" l="1"/>
  <c r="AH48" i="54"/>
  <c r="M48" i="54"/>
  <c r="I48" i="54"/>
  <c r="C49" i="54" l="1"/>
  <c r="E50" i="54" s="1"/>
  <c r="C37" i="57" s="1"/>
  <c r="Z48" i="54"/>
  <c r="AA48" i="54" l="1"/>
  <c r="M49" i="54"/>
  <c r="D49" i="54"/>
  <c r="AH49" i="54"/>
  <c r="I49" i="54"/>
  <c r="C50" i="54" l="1"/>
  <c r="E51" i="54" s="1"/>
  <c r="C38" i="57" s="1"/>
  <c r="Z49" i="54"/>
  <c r="AA49" i="54" l="1"/>
  <c r="AH50" i="54"/>
  <c r="M50" i="54"/>
  <c r="D50" i="54"/>
  <c r="I50" i="54"/>
  <c r="C51" i="54" l="1"/>
  <c r="E52" i="54" s="1"/>
  <c r="C39" i="57" s="1"/>
  <c r="Z50" i="54"/>
  <c r="AA50" i="54" l="1"/>
  <c r="M51" i="54"/>
  <c r="D51" i="54"/>
  <c r="AH51" i="54"/>
  <c r="I51" i="54"/>
  <c r="C52" i="54" l="1"/>
  <c r="E53" i="54" s="1"/>
  <c r="C40" i="57" s="1"/>
  <c r="Z51" i="54"/>
  <c r="AA51" i="54" l="1"/>
  <c r="M52" i="54"/>
  <c r="D52" i="54"/>
  <c r="AH52" i="54"/>
  <c r="I52" i="54"/>
  <c r="Z52" i="54" s="1"/>
  <c r="AA52" i="54" l="1"/>
  <c r="C53" i="54"/>
  <c r="E54" i="54" s="1"/>
  <c r="C41" i="57" s="1"/>
  <c r="M53" i="54" l="1"/>
  <c r="AH53" i="54"/>
  <c r="D53" i="54"/>
  <c r="I53" i="54"/>
  <c r="C54" i="54" l="1"/>
  <c r="Z53" i="54"/>
  <c r="E55" i="54" l="1"/>
  <c r="C42" i="57" s="1"/>
  <c r="AA53" i="54"/>
  <c r="AH54" i="54"/>
  <c r="D54" i="54"/>
  <c r="M54" i="54"/>
  <c r="I54" i="54"/>
  <c r="C55" i="54" l="1"/>
  <c r="E56" i="54" s="1"/>
  <c r="C43" i="57" s="1"/>
  <c r="Z54" i="54"/>
  <c r="AA54" i="54" l="1"/>
  <c r="AH55" i="54"/>
  <c r="D55" i="54"/>
  <c r="M55" i="54"/>
  <c r="I55" i="54"/>
  <c r="C56" i="54" l="1"/>
  <c r="E57" i="54" s="1"/>
  <c r="C44" i="57" s="1"/>
  <c r="Z55" i="54"/>
  <c r="AA55" i="54" l="1"/>
  <c r="D56" i="54"/>
  <c r="M56" i="54"/>
  <c r="AH56" i="54"/>
  <c r="I56" i="54"/>
  <c r="C57" i="54" l="1"/>
  <c r="E58" i="54" s="1"/>
  <c r="C45" i="57" s="1"/>
  <c r="Z56" i="54"/>
  <c r="AA56" i="54" l="1"/>
  <c r="M57" i="54"/>
  <c r="AH57" i="54"/>
  <c r="D57" i="54"/>
  <c r="I57" i="54"/>
  <c r="C58" i="54" l="1"/>
  <c r="E59" i="54" s="1"/>
  <c r="C46" i="57" s="1"/>
  <c r="Z57" i="54"/>
  <c r="AA57" i="54" l="1"/>
  <c r="D58" i="54"/>
  <c r="M58" i="54"/>
  <c r="AH58" i="54"/>
  <c r="I58" i="54"/>
  <c r="C59" i="54" l="1"/>
  <c r="E60" i="54" s="1"/>
  <c r="C47" i="57" s="1"/>
  <c r="Z58" i="54"/>
  <c r="M59" i="54" l="1"/>
  <c r="AH59" i="54"/>
  <c r="D59" i="54"/>
  <c r="I59" i="54"/>
  <c r="Z59" i="54" s="1"/>
  <c r="AA58" i="54"/>
  <c r="C60" i="54" l="1"/>
  <c r="E61" i="54" s="1"/>
  <c r="C48" i="57" s="1"/>
  <c r="AA59" i="54"/>
  <c r="AH60" i="54" l="1"/>
  <c r="M60" i="54"/>
  <c r="D60" i="54"/>
  <c r="I60" i="54"/>
  <c r="C61" i="54" l="1"/>
  <c r="E62" i="54" s="1"/>
  <c r="C49" i="57" s="1"/>
  <c r="Z60" i="54"/>
  <c r="AA60" i="54" l="1"/>
  <c r="D61" i="54"/>
  <c r="AH61" i="54"/>
  <c r="M61" i="54"/>
  <c r="I61" i="54"/>
  <c r="C62" i="54" l="1"/>
  <c r="E63" i="54" s="1"/>
  <c r="C50" i="57" s="1"/>
  <c r="Z61" i="54"/>
  <c r="AA61" i="54" l="1"/>
  <c r="AH62" i="54"/>
  <c r="M62" i="54"/>
  <c r="D62" i="54"/>
  <c r="I62" i="54"/>
  <c r="C63" i="54" l="1"/>
  <c r="E64" i="54" s="1"/>
  <c r="C51" i="57" s="1"/>
  <c r="Z62" i="54"/>
  <c r="AA62" i="54" l="1"/>
  <c r="AH63" i="54"/>
  <c r="D63" i="54"/>
  <c r="M63" i="54"/>
  <c r="I63" i="54"/>
  <c r="C64" i="54" l="1"/>
  <c r="E65" i="54" s="1"/>
  <c r="C52" i="57" s="1"/>
  <c r="Z63" i="54"/>
  <c r="AA63" i="54" l="1"/>
  <c r="AH64" i="54"/>
  <c r="D64" i="54"/>
  <c r="M64" i="54"/>
  <c r="I64" i="54"/>
  <c r="C65" i="54" l="1"/>
  <c r="E66" i="54" s="1"/>
  <c r="C53" i="57" s="1"/>
  <c r="Z64" i="54"/>
  <c r="AA64" i="54" l="1"/>
  <c r="M65" i="54"/>
  <c r="D65" i="54"/>
  <c r="AH65" i="54"/>
  <c r="I65" i="54"/>
  <c r="C66" i="54" l="1"/>
  <c r="E67" i="54" s="1"/>
  <c r="C54" i="57" s="1"/>
  <c r="Z65" i="54"/>
  <c r="AA65" i="54" l="1"/>
  <c r="D66" i="54"/>
  <c r="AH66" i="54"/>
  <c r="M66" i="54"/>
  <c r="I66" i="54"/>
  <c r="C67" i="54" l="1"/>
  <c r="E68" i="54" s="1"/>
  <c r="C55" i="57" s="1"/>
  <c r="Z66" i="54"/>
  <c r="AA66" i="54" l="1"/>
  <c r="M67" i="54"/>
  <c r="AH67" i="54"/>
  <c r="D67" i="54"/>
  <c r="I67" i="54"/>
  <c r="C68" i="54" l="1"/>
  <c r="E69" i="54" s="1"/>
  <c r="C56" i="57" s="1"/>
  <c r="Z67" i="54"/>
  <c r="AA67" i="54" l="1"/>
  <c r="AH68" i="54"/>
  <c r="D68" i="54"/>
  <c r="M68" i="54"/>
  <c r="I68" i="54"/>
  <c r="Z68" i="54" s="1"/>
  <c r="AA68" i="54" l="1"/>
  <c r="C69" i="54"/>
  <c r="E70" i="54" s="1"/>
  <c r="C57" i="57" s="1"/>
  <c r="AH69" i="54" l="1"/>
  <c r="D69" i="54"/>
  <c r="M69" i="54"/>
  <c r="I69" i="54"/>
  <c r="C70" i="54" l="1"/>
  <c r="E71" i="54" s="1"/>
  <c r="C58" i="57" s="1"/>
  <c r="Z69" i="54"/>
  <c r="AA69" i="54" l="1"/>
  <c r="M70" i="54"/>
  <c r="D70" i="54"/>
  <c r="AH70" i="54"/>
  <c r="I70" i="54"/>
  <c r="C71" i="54" l="1"/>
  <c r="E72" i="54" s="1"/>
  <c r="C59" i="57" s="1"/>
  <c r="Z70" i="54"/>
  <c r="AA70" i="54" l="1"/>
  <c r="AH71" i="54"/>
  <c r="M71" i="54"/>
  <c r="D71" i="54"/>
  <c r="I71" i="54"/>
  <c r="Z71" i="54" s="1"/>
  <c r="AA71" i="54" l="1"/>
  <c r="C72" i="54"/>
  <c r="E73" i="54" s="1"/>
  <c r="C60" i="57" s="1"/>
  <c r="M72" i="54" l="1"/>
  <c r="AH72" i="54"/>
  <c r="D72" i="54"/>
  <c r="I72" i="54"/>
  <c r="C73" i="54" l="1"/>
  <c r="E74" i="54" s="1"/>
  <c r="C61" i="57" s="1"/>
  <c r="Z72" i="54"/>
  <c r="AA72" i="54" l="1"/>
  <c r="M73" i="54"/>
  <c r="AH73" i="54"/>
  <c r="D73" i="54"/>
  <c r="I73" i="54"/>
  <c r="C74" i="54" l="1"/>
  <c r="E75" i="54" s="1"/>
  <c r="C62" i="57" s="1"/>
  <c r="Z73" i="54"/>
  <c r="AA73" i="54" l="1"/>
  <c r="D74" i="54"/>
  <c r="AH74" i="54"/>
  <c r="M74" i="54"/>
  <c r="I74" i="54"/>
  <c r="C75" i="54" l="1"/>
  <c r="E76" i="54" s="1"/>
  <c r="C63" i="57" s="1"/>
  <c r="Z74" i="54"/>
  <c r="AA74" i="54" l="1"/>
  <c r="AH75" i="54"/>
  <c r="M75" i="54"/>
  <c r="D75" i="54"/>
  <c r="I75" i="54"/>
  <c r="C76" i="54" l="1"/>
  <c r="E77" i="54" s="1"/>
  <c r="C64" i="57" s="1"/>
  <c r="Z75" i="54"/>
  <c r="AA75" i="54" l="1"/>
  <c r="D76" i="54"/>
  <c r="AH76" i="54"/>
  <c r="M76" i="54"/>
  <c r="I76" i="54"/>
  <c r="C77" i="54" l="1"/>
  <c r="E78" i="54" s="1"/>
  <c r="C65" i="57" s="1"/>
  <c r="Z76" i="54"/>
  <c r="AA76" i="54" l="1"/>
  <c r="M77" i="54"/>
  <c r="D77" i="54"/>
  <c r="AH77" i="54"/>
  <c r="I77" i="54"/>
  <c r="C78" i="54" l="1"/>
  <c r="E79" i="54" s="1"/>
  <c r="C66" i="57" s="1"/>
  <c r="Z77" i="54"/>
  <c r="AH78" i="54" l="1"/>
  <c r="M78" i="54"/>
  <c r="D78" i="54"/>
  <c r="I78" i="54"/>
  <c r="Z78" i="54" s="1"/>
  <c r="AA77" i="54"/>
  <c r="C79" i="54" l="1"/>
  <c r="E80" i="54" s="1"/>
  <c r="C67" i="57" s="1"/>
  <c r="AA78" i="54"/>
  <c r="M79" i="54" l="1"/>
  <c r="D79" i="54"/>
  <c r="AH79" i="54"/>
  <c r="I79" i="54"/>
  <c r="Z79" i="54" l="1"/>
  <c r="C80" i="54"/>
  <c r="E81" i="54" s="1"/>
  <c r="C68" i="57" s="1"/>
  <c r="AH80" i="54" l="1"/>
  <c r="M80" i="54"/>
  <c r="D80" i="54"/>
  <c r="I80" i="54"/>
  <c r="Z80" i="54" s="1"/>
  <c r="AA79" i="54"/>
  <c r="C81" i="54" l="1"/>
  <c r="E82" i="54" s="1"/>
  <c r="C69" i="57" s="1"/>
  <c r="AA80" i="54"/>
  <c r="AH81" i="54" l="1"/>
  <c r="D81" i="54"/>
  <c r="M81" i="54"/>
  <c r="I81" i="54"/>
  <c r="C82" i="54" l="1"/>
  <c r="E83" i="54" s="1"/>
  <c r="C70" i="57" s="1"/>
  <c r="Z81" i="54"/>
  <c r="AA81" i="54" l="1"/>
  <c r="M82" i="54"/>
  <c r="AH82" i="54"/>
  <c r="D82" i="54"/>
  <c r="I82" i="54"/>
  <c r="C83" i="54" l="1"/>
  <c r="Z82" i="54"/>
  <c r="E84" i="54" l="1"/>
  <c r="C71" i="57" s="1"/>
  <c r="AA82" i="54"/>
  <c r="M83" i="54"/>
  <c r="AH83" i="54"/>
  <c r="D83" i="54"/>
  <c r="I83" i="54"/>
  <c r="C84" i="54" l="1"/>
  <c r="Z83" i="54"/>
  <c r="E85" i="54" l="1"/>
  <c r="C72" i="57" s="1"/>
  <c r="AA83" i="54"/>
  <c r="D84" i="54"/>
  <c r="AH84" i="54"/>
  <c r="M84" i="54"/>
  <c r="I84" i="54"/>
  <c r="C85" i="54" l="1"/>
  <c r="Z84" i="54"/>
  <c r="E86" i="54" l="1"/>
  <c r="C73" i="57" s="1"/>
  <c r="AA84" i="54"/>
  <c r="D85" i="54"/>
  <c r="AH85" i="54"/>
  <c r="M85" i="54"/>
  <c r="I85" i="54"/>
  <c r="C86" i="54" l="1"/>
  <c r="Z85" i="54"/>
  <c r="E87" i="54" l="1"/>
  <c r="C74" i="57" s="1"/>
  <c r="AA85" i="54"/>
  <c r="AH86" i="54"/>
  <c r="D86" i="54"/>
  <c r="M86" i="54"/>
  <c r="I86" i="54"/>
  <c r="C87" i="54" l="1"/>
  <c r="E88" i="54" s="1"/>
  <c r="C75" i="57" s="1"/>
  <c r="Z86" i="54"/>
  <c r="AA86" i="54" l="1"/>
  <c r="AH87" i="54"/>
  <c r="D87" i="54"/>
  <c r="M87" i="54"/>
  <c r="I87" i="54"/>
  <c r="C88" i="54" l="1"/>
  <c r="Z87" i="54"/>
  <c r="E89" i="54" l="1"/>
  <c r="C76" i="57" s="1"/>
  <c r="AA87" i="54"/>
  <c r="AH88" i="54"/>
  <c r="D88" i="54"/>
  <c r="M88" i="54"/>
  <c r="I88" i="54"/>
  <c r="C89" i="54" l="1"/>
  <c r="Z88" i="54"/>
  <c r="E90" i="54" l="1"/>
  <c r="C77" i="57" s="1"/>
  <c r="AA88" i="54"/>
  <c r="M89" i="54"/>
  <c r="AH89" i="54"/>
  <c r="D89" i="54"/>
  <c r="I89" i="54"/>
  <c r="C90" i="54" l="1"/>
  <c r="Z89" i="54"/>
  <c r="E91" i="54" l="1"/>
  <c r="C78" i="57" s="1"/>
  <c r="AA89" i="54"/>
  <c r="D90" i="54"/>
  <c r="M90" i="54"/>
  <c r="AH90" i="54"/>
  <c r="I90" i="54"/>
  <c r="C91" i="54" l="1"/>
  <c r="Z90" i="54"/>
  <c r="E92" i="54" l="1"/>
  <c r="AA90" i="54"/>
  <c r="AH91" i="54"/>
  <c r="D91" i="54"/>
  <c r="M91" i="54"/>
  <c r="I91" i="54"/>
  <c r="C92" i="54" l="1"/>
  <c r="E93" i="54" s="1"/>
  <c r="C80" i="57" s="1"/>
  <c r="C79" i="57"/>
  <c r="Z91" i="54"/>
  <c r="C93" i="54" l="1"/>
  <c r="AA91" i="54"/>
  <c r="AH92" i="54"/>
  <c r="M92" i="54"/>
  <c r="D92" i="54"/>
  <c r="I92" i="54"/>
  <c r="E94" i="54" l="1"/>
  <c r="C81" i="57" s="1"/>
  <c r="AH93" i="54"/>
  <c r="D93" i="54"/>
  <c r="I93" i="54"/>
  <c r="M93" i="54"/>
  <c r="Z92" i="54"/>
  <c r="C94" i="54" l="1"/>
  <c r="AA92" i="54"/>
  <c r="Z93" i="54"/>
  <c r="E95" i="54" l="1"/>
  <c r="C82" i="57" s="1"/>
  <c r="AH94" i="54"/>
  <c r="M94" i="54"/>
  <c r="I94" i="54"/>
  <c r="Z94" i="54" s="1"/>
  <c r="D94" i="54"/>
  <c r="AA93" i="54"/>
  <c r="C95" i="54" l="1"/>
  <c r="AA94" i="54"/>
  <c r="E96" i="54" l="1"/>
  <c r="C83" i="57" s="1"/>
  <c r="AH95" i="54"/>
  <c r="M95" i="54"/>
  <c r="I95" i="54"/>
  <c r="Z95" i="54" s="1"/>
  <c r="AA95" i="54" s="1"/>
  <c r="D95" i="54"/>
  <c r="C96" i="54" l="1"/>
  <c r="E97" i="54" l="1"/>
  <c r="AH96" i="54"/>
  <c r="I96" i="54"/>
  <c r="Z96" i="54" s="1"/>
  <c r="M96" i="54"/>
  <c r="D96" i="54"/>
  <c r="C97" i="54" l="1"/>
  <c r="AH97" i="54" s="1"/>
  <c r="C84" i="57"/>
  <c r="AA96" i="54"/>
  <c r="M97" i="54" l="1"/>
  <c r="D97" i="54"/>
  <c r="E98" i="54"/>
  <c r="I97" i="54"/>
  <c r="Z97" i="54" s="1"/>
  <c r="AA97" i="54" s="1"/>
  <c r="C98" i="54" l="1"/>
  <c r="C85" i="57"/>
  <c r="E99" i="54" l="1"/>
  <c r="I98" i="54"/>
  <c r="Z98" i="54" s="1"/>
  <c r="AA98" i="54" s="1"/>
  <c r="AH98" i="54"/>
  <c r="D98" i="54"/>
  <c r="M98" i="54"/>
  <c r="S99" i="54" l="1"/>
  <c r="C86" i="57"/>
  <c r="C99" i="54"/>
  <c r="AH99" i="54" l="1"/>
  <c r="E100" i="54"/>
  <c r="I99" i="54"/>
  <c r="Z99" i="54" s="1"/>
  <c r="AA99" i="54" s="1"/>
  <c r="M99" i="54"/>
  <c r="D99" i="54"/>
  <c r="C100" i="54" l="1"/>
  <c r="C87" i="57"/>
  <c r="S100" i="54"/>
  <c r="E101" i="54" l="1"/>
  <c r="AH100" i="54"/>
  <c r="D100" i="54"/>
  <c r="I100" i="54"/>
  <c r="Z100" i="54" s="1"/>
  <c r="AA100" i="54" s="1"/>
  <c r="M100" i="54"/>
  <c r="C88" i="57" l="1"/>
  <c r="S101" i="54"/>
  <c r="C101" i="54"/>
  <c r="AH101" i="54" l="1"/>
  <c r="M101" i="54"/>
  <c r="E102" i="54"/>
  <c r="D101" i="54"/>
  <c r="I101" i="54"/>
  <c r="Z101" i="54" s="1"/>
  <c r="AA101" i="54" s="1"/>
  <c r="C89" i="57" l="1"/>
  <c r="C102" i="54"/>
  <c r="S102" i="54"/>
  <c r="E103" i="54" l="1"/>
  <c r="D102" i="54"/>
  <c r="I102" i="54"/>
  <c r="Z102" i="54" s="1"/>
  <c r="AA102" i="54" s="1"/>
  <c r="M102" i="54"/>
  <c r="AH102" i="54"/>
  <c r="C90" i="57" l="1"/>
  <c r="C103" i="54"/>
  <c r="S103" i="54"/>
  <c r="Q8" i="54"/>
  <c r="Q23" i="54" s="1"/>
  <c r="E104" i="54" l="1"/>
  <c r="D103" i="54"/>
  <c r="I103" i="54"/>
  <c r="Z103" i="54" s="1"/>
  <c r="AA103" i="54" s="1"/>
  <c r="M103" i="54"/>
  <c r="AH103" i="54"/>
  <c r="Q12" i="54"/>
  <c r="Q13" i="54" s="1"/>
  <c r="F85" i="55" s="1"/>
  <c r="F50" i="55"/>
  <c r="F34" i="55" l="1"/>
  <c r="F65" i="55"/>
  <c r="F51" i="55"/>
  <c r="F82" i="55"/>
  <c r="F97" i="55"/>
  <c r="F95" i="55"/>
  <c r="F19" i="55"/>
  <c r="F59" i="55"/>
  <c r="F81" i="55"/>
  <c r="F39" i="55"/>
  <c r="F91" i="55"/>
  <c r="F8" i="55"/>
  <c r="F55" i="55"/>
  <c r="F74" i="55"/>
  <c r="F45" i="55"/>
  <c r="F69" i="55"/>
  <c r="F77" i="55"/>
  <c r="Q14" i="54"/>
  <c r="F38" i="55"/>
  <c r="F94" i="55"/>
  <c r="F31" i="55"/>
  <c r="F10" i="55"/>
  <c r="F40" i="55"/>
  <c r="F36" i="55"/>
  <c r="F67" i="55"/>
  <c r="F99" i="55"/>
  <c r="F62" i="55"/>
  <c r="F76" i="55"/>
  <c r="F53" i="55"/>
  <c r="F6" i="55"/>
  <c r="F83" i="55"/>
  <c r="F60" i="55"/>
  <c r="F64" i="55"/>
  <c r="F5" i="55"/>
  <c r="F87" i="55"/>
  <c r="F93" i="55"/>
  <c r="F41" i="55"/>
  <c r="F78" i="55"/>
  <c r="F9" i="55"/>
  <c r="F21" i="55"/>
  <c r="F25" i="55"/>
  <c r="F84" i="55"/>
  <c r="F26" i="55"/>
  <c r="F37" i="55"/>
  <c r="F90" i="55"/>
  <c r="F13" i="55"/>
  <c r="F17" i="55"/>
  <c r="F88" i="55"/>
  <c r="F42" i="55"/>
  <c r="F16" i="55"/>
  <c r="F24" i="55"/>
  <c r="F33" i="55"/>
  <c r="F12" i="55"/>
  <c r="F68" i="55"/>
  <c r="F96" i="55"/>
  <c r="F15" i="55"/>
  <c r="F58" i="55"/>
  <c r="F56" i="55"/>
  <c r="F71" i="55"/>
  <c r="F18" i="55"/>
  <c r="F46" i="55"/>
  <c r="F32" i="55"/>
  <c r="F80" i="55"/>
  <c r="F30" i="55"/>
  <c r="F92" i="55"/>
  <c r="F28" i="55"/>
  <c r="F22" i="55"/>
  <c r="F43" i="55"/>
  <c r="F4" i="55"/>
  <c r="G4" i="55" s="1"/>
  <c r="F47" i="55"/>
  <c r="F79" i="55"/>
  <c r="F7" i="55"/>
  <c r="F66" i="55"/>
  <c r="F23" i="55"/>
  <c r="F63" i="55"/>
  <c r="F35" i="55"/>
  <c r="F49" i="55"/>
  <c r="F73" i="55"/>
  <c r="F61" i="55"/>
  <c r="F29" i="55"/>
  <c r="F98" i="55"/>
  <c r="F72" i="55"/>
  <c r="F27" i="55"/>
  <c r="F57" i="55"/>
  <c r="F89" i="55"/>
  <c r="F11" i="55"/>
  <c r="F44" i="55"/>
  <c r="F52" i="55"/>
  <c r="F14" i="55"/>
  <c r="F70" i="55"/>
  <c r="F54" i="55"/>
  <c r="F48" i="55"/>
  <c r="F20" i="55"/>
  <c r="F86" i="55"/>
  <c r="F75" i="55"/>
  <c r="C91" i="57"/>
  <c r="S104" i="54"/>
  <c r="C104" i="54"/>
  <c r="G5" i="55" l="1"/>
  <c r="G6" i="55" s="1"/>
  <c r="G7" i="55" s="1"/>
  <c r="G8" i="55" s="1"/>
  <c r="G9" i="55" s="1"/>
  <c r="G10" i="55" s="1"/>
  <c r="G11" i="55" s="1"/>
  <c r="G12" i="55" s="1"/>
  <c r="G13" i="55" s="1"/>
  <c r="G14" i="55" s="1"/>
  <c r="G15" i="55" s="1"/>
  <c r="G16" i="55" s="1"/>
  <c r="G17" i="55" s="1"/>
  <c r="G18" i="55" s="1"/>
  <c r="G19" i="55" s="1"/>
  <c r="G20" i="55" s="1"/>
  <c r="G21" i="55" s="1"/>
  <c r="G22" i="55" s="1"/>
  <c r="G23" i="55" s="1"/>
  <c r="G24" i="55" s="1"/>
  <c r="G25" i="55" s="1"/>
  <c r="G26" i="55" s="1"/>
  <c r="G27" i="55" s="1"/>
  <c r="G28" i="55" s="1"/>
  <c r="G29" i="55" s="1"/>
  <c r="G30" i="55" s="1"/>
  <c r="G31" i="55" s="1"/>
  <c r="G32" i="55" s="1"/>
  <c r="G33" i="55" s="1"/>
  <c r="G34" i="55" s="1"/>
  <c r="G35" i="55" s="1"/>
  <c r="G36" i="55" s="1"/>
  <c r="G37" i="55" s="1"/>
  <c r="G38" i="55" s="1"/>
  <c r="G39" i="55" s="1"/>
  <c r="G40" i="55" s="1"/>
  <c r="G41" i="55" s="1"/>
  <c r="G42" i="55" s="1"/>
  <c r="G43" i="55" s="1"/>
  <c r="G44" i="55" s="1"/>
  <c r="G45" i="55" s="1"/>
  <c r="G46" i="55" s="1"/>
  <c r="G47" i="55" s="1"/>
  <c r="G48" i="55" s="1"/>
  <c r="G49" i="55" s="1"/>
  <c r="G50" i="55" s="1"/>
  <c r="G51" i="55" s="1"/>
  <c r="G52" i="55" s="1"/>
  <c r="G53" i="55" s="1"/>
  <c r="G54" i="55" s="1"/>
  <c r="G55" i="55" s="1"/>
  <c r="G56" i="55" s="1"/>
  <c r="G57" i="55" s="1"/>
  <c r="G58" i="55" s="1"/>
  <c r="G59" i="55" s="1"/>
  <c r="G60" i="55" s="1"/>
  <c r="G61" i="55" s="1"/>
  <c r="G62" i="55" s="1"/>
  <c r="G63" i="55" s="1"/>
  <c r="G64" i="55" s="1"/>
  <c r="G65" i="55" s="1"/>
  <c r="G66" i="55" s="1"/>
  <c r="G67" i="55" s="1"/>
  <c r="G68" i="55" s="1"/>
  <c r="G69" i="55" s="1"/>
  <c r="G70" i="55" s="1"/>
  <c r="G71" i="55" s="1"/>
  <c r="G72" i="55" s="1"/>
  <c r="G73" i="55" s="1"/>
  <c r="G74" i="55" s="1"/>
  <c r="G75" i="55" s="1"/>
  <c r="G76" i="55" s="1"/>
  <c r="G77" i="55" s="1"/>
  <c r="G78" i="55" s="1"/>
  <c r="G79" i="55" s="1"/>
  <c r="G80" i="55" s="1"/>
  <c r="G81" i="55" s="1"/>
  <c r="G82" i="55" s="1"/>
  <c r="G83" i="55" s="1"/>
  <c r="G84" i="55" s="1"/>
  <c r="G85" i="55" s="1"/>
  <c r="G86" i="55" s="1"/>
  <c r="G87" i="55" s="1"/>
  <c r="G88" i="55" s="1"/>
  <c r="G89" i="55" s="1"/>
  <c r="G90" i="55" s="1"/>
  <c r="G91" i="55" s="1"/>
  <c r="G92" i="55" s="1"/>
  <c r="G93" i="55" s="1"/>
  <c r="G94" i="55" s="1"/>
  <c r="G95" i="55" s="1"/>
  <c r="G96" i="55" s="1"/>
  <c r="G97" i="55" s="1"/>
  <c r="G98" i="55" s="1"/>
  <c r="G99" i="55" s="1"/>
  <c r="D104" i="54"/>
  <c r="AH104" i="54"/>
  <c r="I104" i="54"/>
  <c r="Z104" i="54" s="1"/>
  <c r="AA104" i="54" s="1"/>
  <c r="M104" i="54"/>
  <c r="J24" i="54"/>
  <c r="L23" i="54" l="1"/>
  <c r="K33" i="54"/>
  <c r="W33" i="54"/>
  <c r="J28" i="54"/>
  <c r="K28" i="54"/>
  <c r="E20" i="57" l="1"/>
  <c r="L33" i="54"/>
  <c r="V33" i="54"/>
  <c r="J34" i="54" s="1"/>
  <c r="D21" i="57" s="1"/>
  <c r="S34" i="54" l="1"/>
  <c r="Q34" i="54" s="1"/>
  <c r="X34" i="54"/>
  <c r="X31" i="54" s="1"/>
  <c r="W34" i="54"/>
  <c r="O33" i="54"/>
  <c r="U33" i="54" s="1"/>
  <c r="I20" i="57" s="1"/>
  <c r="G16" i="57" s="1"/>
  <c r="Y33" i="54"/>
  <c r="N33" i="54"/>
  <c r="F20" i="57" s="1"/>
  <c r="T34" i="54" l="1"/>
  <c r="G21" i="57" s="1"/>
  <c r="K34" i="54"/>
  <c r="AI33" i="54"/>
  <c r="H14" i="49"/>
  <c r="I14" i="49" s="1"/>
  <c r="E21" i="57" l="1"/>
  <c r="L34" i="54"/>
  <c r="N34" i="54" s="1"/>
  <c r="F21" i="57" s="1"/>
  <c r="V34" i="54"/>
  <c r="J35" i="54" s="1"/>
  <c r="X35" i="54" l="1"/>
  <c r="D22" i="57"/>
  <c r="Y34" i="54"/>
  <c r="O34" i="54"/>
  <c r="U34" i="54" s="1"/>
  <c r="S35" i="54"/>
  <c r="Q35" i="54" s="1"/>
  <c r="W35" i="54"/>
  <c r="AI34" i="54" l="1"/>
  <c r="I21" i="57"/>
  <c r="T35" i="54"/>
  <c r="G22" i="57" s="1"/>
  <c r="K35" i="54"/>
  <c r="E22" i="57" l="1"/>
  <c r="V35" i="54"/>
  <c r="J36" i="54" s="1"/>
  <c r="L35" i="54"/>
  <c r="S36" i="54" l="1"/>
  <c r="Q36" i="54" s="1"/>
  <c r="T36" i="54" s="1"/>
  <c r="G23" i="57" s="1"/>
  <c r="D23" i="57"/>
  <c r="O35" i="54"/>
  <c r="U35" i="54" s="1"/>
  <c r="Y35" i="54"/>
  <c r="N35" i="54"/>
  <c r="F22" i="57" s="1"/>
  <c r="X36" i="54"/>
  <c r="W36" i="54"/>
  <c r="AI35" i="54" l="1"/>
  <c r="I22" i="57"/>
  <c r="K36" i="54"/>
  <c r="V36" i="54" l="1"/>
  <c r="J37" i="54" s="1"/>
  <c r="X37" i="54" s="1"/>
  <c r="E23" i="57"/>
  <c r="L36" i="54"/>
  <c r="O36" i="54" s="1"/>
  <c r="U36" i="54" s="1"/>
  <c r="W37" i="54" l="1"/>
  <c r="AI36" i="54"/>
  <c r="I23" i="57"/>
  <c r="S37" i="54"/>
  <c r="Q37" i="54" s="1"/>
  <c r="T37" i="54" s="1"/>
  <c r="G24" i="57" s="1"/>
  <c r="D24" i="57"/>
  <c r="Y36" i="54"/>
  <c r="N36" i="54"/>
  <c r="F23" i="57" s="1"/>
  <c r="K37" i="54"/>
  <c r="E24" i="57" s="1"/>
  <c r="L37" i="54" l="1"/>
  <c r="V37" i="54"/>
  <c r="J38" i="54" s="1"/>
  <c r="D25" i="57" s="1"/>
  <c r="S38" i="54" l="1"/>
  <c r="Q38" i="54" s="1"/>
  <c r="T38" i="54" s="1"/>
  <c r="G25" i="57" s="1"/>
  <c r="W38" i="54"/>
  <c r="X38" i="54"/>
  <c r="O37" i="54"/>
  <c r="U37" i="54" s="1"/>
  <c r="N37" i="54"/>
  <c r="F24" i="57" s="1"/>
  <c r="Y37" i="54"/>
  <c r="AI37" i="54" l="1"/>
  <c r="I24" i="57"/>
  <c r="K38" i="54"/>
  <c r="E25" i="57" s="1"/>
  <c r="V38" i="54" l="1"/>
  <c r="J39" i="54" s="1"/>
  <c r="D26" i="57" s="1"/>
  <c r="L38" i="54"/>
  <c r="S39" i="54" l="1"/>
  <c r="Q39" i="54" s="1"/>
  <c r="T39" i="54" s="1"/>
  <c r="G26" i="57" s="1"/>
  <c r="X39" i="54"/>
  <c r="W39" i="54"/>
  <c r="N38" i="54"/>
  <c r="F25" i="57" s="1"/>
  <c r="Y38" i="54"/>
  <c r="O38" i="54"/>
  <c r="U38" i="54" s="1"/>
  <c r="AI38" i="54" l="1"/>
  <c r="I25" i="57"/>
  <c r="K39" i="54"/>
  <c r="S40" i="54"/>
  <c r="V39" i="54" l="1"/>
  <c r="J40" i="54" s="1"/>
  <c r="W40" i="54" s="1"/>
  <c r="E26" i="57"/>
  <c r="L39" i="54"/>
  <c r="Y39" i="54" s="1"/>
  <c r="Q40" i="54" l="1"/>
  <c r="X40" i="54"/>
  <c r="X32" i="54" s="1"/>
  <c r="D27" i="57"/>
  <c r="O39" i="54"/>
  <c r="U39" i="54" s="1"/>
  <c r="N39" i="54"/>
  <c r="F26" i="57" s="1"/>
  <c r="T40" i="54" l="1"/>
  <c r="G27" i="57" s="1"/>
  <c r="K40" i="54"/>
  <c r="AI39" i="54"/>
  <c r="I26" i="57"/>
  <c r="S41" i="54"/>
  <c r="E27" i="57" l="1"/>
  <c r="V40" i="54"/>
  <c r="J41" i="54" s="1"/>
  <c r="L40" i="54"/>
  <c r="O40" i="54" s="1"/>
  <c r="U40" i="54" s="1"/>
  <c r="I27" i="57" l="1"/>
  <c r="AI40" i="54"/>
  <c r="D28" i="57"/>
  <c r="X41" i="54"/>
  <c r="W41" i="54"/>
  <c r="N40" i="54"/>
  <c r="F27" i="57" s="1"/>
  <c r="Y40" i="54"/>
  <c r="Q41" i="54"/>
  <c r="T41" i="54" l="1"/>
  <c r="G28" i="57" s="1"/>
  <c r="K41" i="54"/>
  <c r="S42" i="54"/>
  <c r="S43" i="54"/>
  <c r="E28" i="57" l="1"/>
  <c r="L41" i="54"/>
  <c r="V41" i="54"/>
  <c r="J42" i="54" s="1"/>
  <c r="D29" i="57" l="1"/>
  <c r="X42" i="54"/>
  <c r="W42" i="54"/>
  <c r="O41" i="54"/>
  <c r="U41" i="54" s="1"/>
  <c r="N41" i="54"/>
  <c r="F28" i="57" s="1"/>
  <c r="Y41" i="54"/>
  <c r="Q42" i="54"/>
  <c r="T42" i="54" l="1"/>
  <c r="G29" i="57" s="1"/>
  <c r="K42" i="54"/>
  <c r="AI41" i="54"/>
  <c r="I28" i="57"/>
  <c r="S44" i="54"/>
  <c r="E29" i="57" l="1"/>
  <c r="V42" i="54"/>
  <c r="J43" i="54" s="1"/>
  <c r="L42" i="54"/>
  <c r="O42" i="54" l="1"/>
  <c r="U42" i="54" s="1"/>
  <c r="N42" i="54"/>
  <c r="F29" i="57" s="1"/>
  <c r="Y42" i="54"/>
  <c r="D30" i="57"/>
  <c r="Q43" i="54"/>
  <c r="W43" i="54"/>
  <c r="X43" i="54"/>
  <c r="T43" i="54" l="1"/>
  <c r="G30" i="57" s="1"/>
  <c r="K43" i="54"/>
  <c r="AI42" i="54"/>
  <c r="I29" i="57"/>
  <c r="E30" i="57" l="1"/>
  <c r="V43" i="54"/>
  <c r="J44" i="54" s="1"/>
  <c r="L43" i="54"/>
  <c r="O43" i="54" l="1"/>
  <c r="U43" i="54" s="1"/>
  <c r="N43" i="54"/>
  <c r="F30" i="57" s="1"/>
  <c r="Y43" i="54"/>
  <c r="D31" i="57"/>
  <c r="Q44" i="54"/>
  <c r="T44" i="54" s="1"/>
  <c r="G31" i="57" s="1"/>
  <c r="X44" i="54"/>
  <c r="W44" i="54"/>
  <c r="S45" i="54"/>
  <c r="K44" i="54" l="1"/>
  <c r="L44" i="54" s="1"/>
  <c r="AI43" i="54"/>
  <c r="I30" i="57"/>
  <c r="E31" i="57" l="1"/>
  <c r="V44" i="54"/>
  <c r="J45" i="54" s="1"/>
  <c r="D32" i="57"/>
  <c r="W45" i="54"/>
  <c r="X45" i="54"/>
  <c r="Y44" i="54"/>
  <c r="N44" i="54"/>
  <c r="F31" i="57" s="1"/>
  <c r="O44" i="54"/>
  <c r="U44" i="54" s="1"/>
  <c r="Q45" i="54"/>
  <c r="T45" i="54" s="1"/>
  <c r="G32" i="57" s="1"/>
  <c r="S46" i="54"/>
  <c r="K45" i="54" l="1"/>
  <c r="V45" i="54" s="1"/>
  <c r="J46" i="54" s="1"/>
  <c r="D33" i="57" s="1"/>
  <c r="I31" i="57"/>
  <c r="AI44" i="54"/>
  <c r="L45" i="54" l="1"/>
  <c r="Y45" i="54" s="1"/>
  <c r="E32" i="57"/>
  <c r="W46" i="54"/>
  <c r="Q46" i="54"/>
  <c r="X46" i="54"/>
  <c r="S47" i="54"/>
  <c r="S49" i="54"/>
  <c r="O45" i="54" l="1"/>
  <c r="U45" i="54" s="1"/>
  <c r="AI45" i="54" s="1"/>
  <c r="N45" i="54"/>
  <c r="F32" i="57" s="1"/>
  <c r="T46" i="54"/>
  <c r="G33" i="57" s="1"/>
  <c r="K46" i="54"/>
  <c r="I32" i="57" l="1"/>
  <c r="E33" i="57"/>
  <c r="V46" i="54"/>
  <c r="J47" i="54" s="1"/>
  <c r="L46" i="54"/>
  <c r="S48" i="54"/>
  <c r="Y46" i="54" l="1"/>
  <c r="N46" i="54"/>
  <c r="F33" i="57" s="1"/>
  <c r="D34" i="57"/>
  <c r="W47" i="54"/>
  <c r="Q47" i="54"/>
  <c r="T47" i="54" s="1"/>
  <c r="G34" i="57" s="1"/>
  <c r="X47" i="54"/>
  <c r="O46" i="54"/>
  <c r="U46" i="54" s="1"/>
  <c r="S50" i="54"/>
  <c r="K47" i="54" l="1"/>
  <c r="V47" i="54" s="1"/>
  <c r="J48" i="54" s="1"/>
  <c r="D35" i="57" s="1"/>
  <c r="AI46" i="54"/>
  <c r="I33" i="57"/>
  <c r="E34" i="57" l="1"/>
  <c r="L47" i="54"/>
  <c r="O47" i="54" s="1"/>
  <c r="U47" i="54" s="1"/>
  <c r="AI47" i="54" s="1"/>
  <c r="X48" i="54"/>
  <c r="W48" i="54"/>
  <c r="Q48" i="54"/>
  <c r="T48" i="54" s="1"/>
  <c r="G35" i="57" s="1"/>
  <c r="K48" i="54" l="1"/>
  <c r="E35" i="57" s="1"/>
  <c r="I34" i="57"/>
  <c r="Y47" i="54"/>
  <c r="N47" i="54"/>
  <c r="F34" i="57" s="1"/>
  <c r="L48" i="54" l="1"/>
  <c r="O48" i="54" s="1"/>
  <c r="U48" i="54" s="1"/>
  <c r="I35" i="57" s="1"/>
  <c r="V48" i="54"/>
  <c r="J49" i="54" s="1"/>
  <c r="D36" i="57" s="1"/>
  <c r="Q49" i="54" l="1"/>
  <c r="W49" i="54"/>
  <c r="X49" i="54"/>
  <c r="N48" i="54"/>
  <c r="F35" i="57" s="1"/>
  <c r="AI48" i="54"/>
  <c r="Y48" i="54"/>
  <c r="T49" i="54" l="1"/>
  <c r="G36" i="57" s="1"/>
  <c r="K49" i="54"/>
  <c r="S51" i="54"/>
  <c r="E36" i="57" l="1"/>
  <c r="V49" i="54"/>
  <c r="J50" i="54" s="1"/>
  <c r="L49" i="54"/>
  <c r="O49" i="54" s="1"/>
  <c r="U49" i="54" s="1"/>
  <c r="I36" i="57" l="1"/>
  <c r="AI49" i="54"/>
  <c r="N49" i="54"/>
  <c r="F36" i="57" s="1"/>
  <c r="Y49" i="54"/>
  <c r="W50" i="54"/>
  <c r="X50" i="54"/>
  <c r="D37" i="57"/>
  <c r="Q50" i="54"/>
  <c r="S53" i="54"/>
  <c r="T50" i="54" l="1"/>
  <c r="G37" i="57" s="1"/>
  <c r="K50" i="54"/>
  <c r="S52" i="54"/>
  <c r="E37" i="57" l="1"/>
  <c r="V50" i="54"/>
  <c r="J51" i="54" s="1"/>
  <c r="L50" i="54"/>
  <c r="O50" i="54" s="1"/>
  <c r="U50" i="54" s="1"/>
  <c r="AI50" i="54" l="1"/>
  <c r="I37" i="57"/>
  <c r="D38" i="57"/>
  <c r="Q51" i="54"/>
  <c r="W51" i="54"/>
  <c r="X51" i="54"/>
  <c r="N50" i="54"/>
  <c r="F37" i="57" s="1"/>
  <c r="Y50" i="54"/>
  <c r="S54" i="54"/>
  <c r="K51" i="54" l="1"/>
  <c r="T51" i="54"/>
  <c r="G38" i="57" s="1"/>
  <c r="L51" i="54" l="1"/>
  <c r="E38" i="57"/>
  <c r="V51" i="54"/>
  <c r="J52" i="54" s="1"/>
  <c r="Q52" i="54" l="1"/>
  <c r="T52" i="54" s="1"/>
  <c r="G39" i="57" s="1"/>
  <c r="X52" i="54"/>
  <c r="W52" i="54"/>
  <c r="K52" i="54"/>
  <c r="D39" i="57"/>
  <c r="O51" i="54"/>
  <c r="U51" i="54" s="1"/>
  <c r="Y51" i="54"/>
  <c r="N51" i="54"/>
  <c r="F38" i="57" s="1"/>
  <c r="S55" i="54"/>
  <c r="I38" i="57" l="1"/>
  <c r="AI51" i="54"/>
  <c r="E39" i="57"/>
  <c r="L52" i="54"/>
  <c r="V52" i="54"/>
  <c r="J53" i="54" s="1"/>
  <c r="O52" i="54" l="1"/>
  <c r="U52" i="54" s="1"/>
  <c r="Y52" i="54"/>
  <c r="N52" i="54"/>
  <c r="F39" i="57" s="1"/>
  <c r="D40" i="57"/>
  <c r="X53" i="54"/>
  <c r="Q53" i="54"/>
  <c r="T53" i="54" s="1"/>
  <c r="G40" i="57" s="1"/>
  <c r="W53" i="54"/>
  <c r="S56" i="54"/>
  <c r="K53" i="54" l="1"/>
  <c r="E40" i="57" s="1"/>
  <c r="I39" i="57"/>
  <c r="AI52" i="54"/>
  <c r="V53" i="54" l="1"/>
  <c r="J54" i="54" s="1"/>
  <c r="L53" i="54"/>
  <c r="D41" i="57"/>
  <c r="X54" i="54"/>
  <c r="Q54" i="54"/>
  <c r="T54" i="54" s="1"/>
  <c r="G41" i="57" s="1"/>
  <c r="W54" i="54"/>
  <c r="O53" i="54"/>
  <c r="U53" i="54" s="1"/>
  <c r="N53" i="54"/>
  <c r="F40" i="57" s="1"/>
  <c r="Y53" i="54"/>
  <c r="S57" i="54"/>
  <c r="K54" i="54" l="1"/>
  <c r="V54" i="54" s="1"/>
  <c r="J55" i="54" s="1"/>
  <c r="I40" i="57"/>
  <c r="AI53" i="54"/>
  <c r="L54" i="54" l="1"/>
  <c r="N54" i="54" s="1"/>
  <c r="F41" i="57" s="1"/>
  <c r="E41" i="57"/>
  <c r="X55" i="54"/>
  <c r="W55" i="54"/>
  <c r="D42" i="57"/>
  <c r="Q55" i="54"/>
  <c r="T55" i="54" s="1"/>
  <c r="G42" i="57" s="1"/>
  <c r="K55" i="54"/>
  <c r="S58" i="54"/>
  <c r="O54" i="54" l="1"/>
  <c r="U54" i="54" s="1"/>
  <c r="Y54" i="54"/>
  <c r="AI54" i="54"/>
  <c r="I41" i="57"/>
  <c r="E42" i="57"/>
  <c r="L55" i="54"/>
  <c r="V55" i="54"/>
  <c r="J56" i="54" s="1"/>
  <c r="D43" i="57" l="1"/>
  <c r="X56" i="54"/>
  <c r="Q56" i="54"/>
  <c r="T56" i="54" s="1"/>
  <c r="G43" i="57" s="1"/>
  <c r="W56" i="54"/>
  <c r="O55" i="54"/>
  <c r="U55" i="54" s="1"/>
  <c r="Y55" i="54"/>
  <c r="N55" i="54"/>
  <c r="F42" i="57" s="1"/>
  <c r="S59" i="54"/>
  <c r="K56" i="54" l="1"/>
  <c r="L56" i="54" s="1"/>
  <c r="AI55" i="54"/>
  <c r="I42" i="57"/>
  <c r="V56" i="54" l="1"/>
  <c r="J57" i="54" s="1"/>
  <c r="X57" i="54" s="1"/>
  <c r="E43" i="57"/>
  <c r="Y56" i="54"/>
  <c r="N56" i="54"/>
  <c r="F43" i="57" s="1"/>
  <c r="O56" i="54"/>
  <c r="U56" i="54" s="1"/>
  <c r="S60" i="54"/>
  <c r="W57" i="54" l="1"/>
  <c r="D44" i="57"/>
  <c r="Q57" i="54"/>
  <c r="T57" i="54" s="1"/>
  <c r="G44" i="57" s="1"/>
  <c r="AI56" i="54"/>
  <c r="I43" i="57"/>
  <c r="K57" i="54" l="1"/>
  <c r="V57" i="54" s="1"/>
  <c r="J58" i="54" s="1"/>
  <c r="E44" i="57" l="1"/>
  <c r="L57" i="54"/>
  <c r="Y57" i="54"/>
  <c r="N57" i="54"/>
  <c r="F44" i="57" s="1"/>
  <c r="W58" i="54"/>
  <c r="Q58" i="54"/>
  <c r="X58" i="54"/>
  <c r="D45" i="57"/>
  <c r="O57" i="54"/>
  <c r="U57" i="54" s="1"/>
  <c r="S61" i="54"/>
  <c r="T58" i="54" l="1"/>
  <c r="G45" i="57" s="1"/>
  <c r="K58" i="54"/>
  <c r="I44" i="57"/>
  <c r="AI57" i="54"/>
  <c r="V58" i="54" l="1"/>
  <c r="J59" i="54" s="1"/>
  <c r="L58" i="54"/>
  <c r="E45" i="57"/>
  <c r="N58" i="54" l="1"/>
  <c r="F45" i="57" s="1"/>
  <c r="Y58" i="54"/>
  <c r="D46" i="57"/>
  <c r="X59" i="54"/>
  <c r="Q59" i="54"/>
  <c r="W59" i="54"/>
  <c r="O58" i="54"/>
  <c r="U58" i="54" s="1"/>
  <c r="S62" i="54"/>
  <c r="S63" i="54"/>
  <c r="I45" i="57" l="1"/>
  <c r="AI58" i="54"/>
  <c r="T59" i="54"/>
  <c r="G46" i="57" s="1"/>
  <c r="K59" i="54"/>
  <c r="V59" i="54" l="1"/>
  <c r="J60" i="54" s="1"/>
  <c r="L59" i="54"/>
  <c r="E46" i="57"/>
  <c r="O59" i="54" l="1"/>
  <c r="U59" i="54" s="1"/>
  <c r="Y59" i="54"/>
  <c r="N59" i="54"/>
  <c r="F46" i="57" s="1"/>
  <c r="Q60" i="54"/>
  <c r="T60" i="54" s="1"/>
  <c r="G47" i="57" s="1"/>
  <c r="K60" i="54"/>
  <c r="X60" i="54"/>
  <c r="W60" i="54"/>
  <c r="D47" i="57"/>
  <c r="E47" i="57" l="1"/>
  <c r="L60" i="54"/>
  <c r="V60" i="54"/>
  <c r="J61" i="54" s="1"/>
  <c r="AI59" i="54"/>
  <c r="I46" i="57"/>
  <c r="S64" i="54"/>
  <c r="Y60" i="54" l="1"/>
  <c r="N60" i="54"/>
  <c r="F47" i="57" s="1"/>
  <c r="D48" i="57"/>
  <c r="X61" i="54"/>
  <c r="W61" i="54"/>
  <c r="Q61" i="54"/>
  <c r="T61" i="54" s="1"/>
  <c r="G48" i="57" s="1"/>
  <c r="K61" i="54"/>
  <c r="O60" i="54"/>
  <c r="U60" i="54" s="1"/>
  <c r="AI60" i="54" l="1"/>
  <c r="I47" i="57"/>
  <c r="V61" i="54"/>
  <c r="J62" i="54" s="1"/>
  <c r="L61" i="54"/>
  <c r="E48" i="57"/>
  <c r="Y61" i="54" l="1"/>
  <c r="N61" i="54"/>
  <c r="F48" i="57" s="1"/>
  <c r="X62" i="54"/>
  <c r="Q62" i="54"/>
  <c r="T62" i="54" s="1"/>
  <c r="G49" i="57" s="1"/>
  <c r="D49" i="57"/>
  <c r="W62" i="54"/>
  <c r="K62" i="54"/>
  <c r="O61" i="54"/>
  <c r="U61" i="54" s="1"/>
  <c r="S65" i="54"/>
  <c r="S66" i="54"/>
  <c r="E49" i="57" l="1"/>
  <c r="L62" i="54"/>
  <c r="V62" i="54"/>
  <c r="J63" i="54" s="1"/>
  <c r="AI61" i="54"/>
  <c r="I48" i="57"/>
  <c r="O62" i="54" l="1"/>
  <c r="U62" i="54" s="1"/>
  <c r="Y62" i="54"/>
  <c r="N62" i="54"/>
  <c r="F49" i="57" s="1"/>
  <c r="D50" i="57"/>
  <c r="Q63" i="54"/>
  <c r="T63" i="54" s="1"/>
  <c r="G50" i="57" s="1"/>
  <c r="X63" i="54"/>
  <c r="W63" i="54"/>
  <c r="K63" i="54"/>
  <c r="S67" i="54"/>
  <c r="AI62" i="54" l="1"/>
  <c r="I49" i="57"/>
  <c r="E50" i="57"/>
  <c r="L63" i="54"/>
  <c r="V63" i="54"/>
  <c r="J64" i="54" s="1"/>
  <c r="D51" i="57" l="1"/>
  <c r="W64" i="54"/>
  <c r="Q64" i="54"/>
  <c r="T64" i="54" s="1"/>
  <c r="G51" i="57" s="1"/>
  <c r="X64" i="54"/>
  <c r="Y63" i="54"/>
  <c r="N63" i="54"/>
  <c r="F50" i="57" s="1"/>
  <c r="K64" i="54"/>
  <c r="V64" i="54" s="1"/>
  <c r="J65" i="54" s="1"/>
  <c r="O63" i="54"/>
  <c r="U63" i="54" s="1"/>
  <c r="S68" i="54"/>
  <c r="AI63" i="54" l="1"/>
  <c r="I50" i="57"/>
  <c r="L64" i="54"/>
  <c r="O64" i="54" s="1"/>
  <c r="U64" i="54" s="1"/>
  <c r="E51" i="57"/>
  <c r="D52" i="57"/>
  <c r="Q65" i="54"/>
  <c r="T65" i="54" s="1"/>
  <c r="G52" i="57" s="1"/>
  <c r="W65" i="54"/>
  <c r="X65" i="54"/>
  <c r="K65" i="54" l="1"/>
  <c r="V65" i="54" s="1"/>
  <c r="J66" i="54" s="1"/>
  <c r="Y64" i="54"/>
  <c r="N64" i="54"/>
  <c r="F51" i="57" s="1"/>
  <c r="L65" i="54"/>
  <c r="E52" i="57"/>
  <c r="AI64" i="54"/>
  <c r="I51" i="57"/>
  <c r="D53" i="57" l="1"/>
  <c r="X66" i="54"/>
  <c r="W66" i="54"/>
  <c r="Q66" i="54"/>
  <c r="O65" i="54"/>
  <c r="U65" i="54" s="1"/>
  <c r="N65" i="54"/>
  <c r="F52" i="57" s="1"/>
  <c r="Y65" i="54"/>
  <c r="S69" i="54"/>
  <c r="T66" i="54" l="1"/>
  <c r="G53" i="57" s="1"/>
  <c r="K66" i="54"/>
  <c r="AI65" i="54"/>
  <c r="I52" i="57"/>
  <c r="E53" i="57" l="1"/>
  <c r="L66" i="54"/>
  <c r="V66" i="54"/>
  <c r="J67" i="54" s="1"/>
  <c r="S70" i="54"/>
  <c r="D54" i="57" l="1"/>
  <c r="W67" i="54"/>
  <c r="Q67" i="54"/>
  <c r="T67" i="54" s="1"/>
  <c r="G54" i="57" s="1"/>
  <c r="X67" i="54"/>
  <c r="O66" i="54"/>
  <c r="U66" i="54" s="1"/>
  <c r="Y66" i="54"/>
  <c r="N66" i="54"/>
  <c r="F53" i="57" s="1"/>
  <c r="K67" i="54" l="1"/>
  <c r="V67" i="54" s="1"/>
  <c r="J68" i="54" s="1"/>
  <c r="AI66" i="54"/>
  <c r="I53" i="57"/>
  <c r="S71" i="54"/>
  <c r="E54" i="57" l="1"/>
  <c r="L67" i="54"/>
  <c r="O67" i="54" s="1"/>
  <c r="U67" i="54" s="1"/>
  <c r="I54" i="57" s="1"/>
  <c r="X68" i="54"/>
  <c r="W68" i="54"/>
  <c r="D55" i="57"/>
  <c r="Q68" i="54"/>
  <c r="T68" i="54" s="1"/>
  <c r="G55" i="57" s="1"/>
  <c r="N67" i="54" l="1"/>
  <c r="F54" i="57" s="1"/>
  <c r="Y67" i="54"/>
  <c r="AI67" i="54"/>
  <c r="K68" i="54"/>
  <c r="E55" i="57" s="1"/>
  <c r="V68" i="54" l="1"/>
  <c r="J69" i="54" s="1"/>
  <c r="D56" i="57" s="1"/>
  <c r="L68" i="54"/>
  <c r="N68" i="54" s="1"/>
  <c r="F55" i="57" s="1"/>
  <c r="S72" i="54"/>
  <c r="X69" i="54" l="1"/>
  <c r="Q69" i="54"/>
  <c r="T69" i="54" s="1"/>
  <c r="G56" i="57" s="1"/>
  <c r="W69" i="54"/>
  <c r="O68" i="54"/>
  <c r="U68" i="54" s="1"/>
  <c r="AI68" i="54" s="1"/>
  <c r="Y68" i="54"/>
  <c r="K69" i="54" l="1"/>
  <c r="V69" i="54" s="1"/>
  <c r="J70" i="54" s="1"/>
  <c r="W70" i="54" s="1"/>
  <c r="I55" i="57"/>
  <c r="S73" i="54"/>
  <c r="L69" i="54" l="1"/>
  <c r="Y69" i="54" s="1"/>
  <c r="E56" i="57"/>
  <c r="D57" i="57"/>
  <c r="Q70" i="54"/>
  <c r="T70" i="54" s="1"/>
  <c r="G57" i="57" s="1"/>
  <c r="X70" i="54"/>
  <c r="N69" i="54" l="1"/>
  <c r="F56" i="57" s="1"/>
  <c r="O69" i="54"/>
  <c r="U69" i="54" s="1"/>
  <c r="AI69" i="54" s="1"/>
  <c r="K70" i="54"/>
  <c r="E57" i="57" s="1"/>
  <c r="I56" i="57"/>
  <c r="S74" i="54"/>
  <c r="V70" i="54" l="1"/>
  <c r="J71" i="54" s="1"/>
  <c r="L70" i="54"/>
  <c r="O70" i="54" l="1"/>
  <c r="U70" i="54" s="1"/>
  <c r="Y70" i="54"/>
  <c r="N70" i="54"/>
  <c r="F57" i="57" s="1"/>
  <c r="W71" i="54"/>
  <c r="Q71" i="54"/>
  <c r="X71" i="54"/>
  <c r="D58" i="57"/>
  <c r="S75" i="54"/>
  <c r="T71" i="54" l="1"/>
  <c r="G58" i="57" s="1"/>
  <c r="K71" i="54"/>
  <c r="AI70" i="54"/>
  <c r="I57" i="57"/>
  <c r="E58" i="57" l="1"/>
  <c r="L71" i="54"/>
  <c r="V71" i="54"/>
  <c r="J72" i="54" s="1"/>
  <c r="Q72" i="54" l="1"/>
  <c r="T72" i="54" s="1"/>
  <c r="G59" i="57" s="1"/>
  <c r="D59" i="57"/>
  <c r="X72" i="54"/>
  <c r="W72" i="54"/>
  <c r="K72" i="54"/>
  <c r="O71" i="54"/>
  <c r="U71" i="54" s="1"/>
  <c r="N71" i="54"/>
  <c r="F58" i="57" s="1"/>
  <c r="Y71" i="54"/>
  <c r="S76" i="54"/>
  <c r="I58" i="57" l="1"/>
  <c r="AI71" i="54"/>
  <c r="V72" i="54"/>
  <c r="J73" i="54" s="1"/>
  <c r="L72" i="54"/>
  <c r="E59" i="57"/>
  <c r="O72" i="54" l="1"/>
  <c r="U72" i="54" s="1"/>
  <c r="Y72" i="54"/>
  <c r="N72" i="54"/>
  <c r="F59" i="57" s="1"/>
  <c r="D60" i="57"/>
  <c r="W73" i="54"/>
  <c r="X73" i="54"/>
  <c r="Q73" i="54"/>
  <c r="T73" i="54" l="1"/>
  <c r="G60" i="57" s="1"/>
  <c r="K73" i="54"/>
  <c r="I59" i="57"/>
  <c r="AI72" i="54"/>
  <c r="S77" i="54"/>
  <c r="L73" i="54" l="1"/>
  <c r="O73" i="54" s="1"/>
  <c r="U73" i="54" s="1"/>
  <c r="E60" i="57"/>
  <c r="V73" i="54"/>
  <c r="J74" i="54" s="1"/>
  <c r="AI73" i="54" l="1"/>
  <c r="I60" i="57"/>
  <c r="Q74" i="54"/>
  <c r="T74" i="54" s="1"/>
  <c r="G61" i="57" s="1"/>
  <c r="D61" i="57"/>
  <c r="W74" i="54"/>
  <c r="X74" i="54"/>
  <c r="K74" i="54"/>
  <c r="N73" i="54"/>
  <c r="F60" i="57" s="1"/>
  <c r="Y73" i="54"/>
  <c r="S78" i="54"/>
  <c r="L74" i="54" l="1"/>
  <c r="E61" i="57"/>
  <c r="V74" i="54"/>
  <c r="J75" i="54" s="1"/>
  <c r="W75" i="54" l="1"/>
  <c r="Q75" i="54"/>
  <c r="T75" i="54" s="1"/>
  <c r="G62" i="57" s="1"/>
  <c r="X75" i="54"/>
  <c r="D62" i="57"/>
  <c r="O74" i="54"/>
  <c r="U74" i="54" s="1"/>
  <c r="N74" i="54"/>
  <c r="F61" i="57" s="1"/>
  <c r="Y74" i="54"/>
  <c r="S79" i="54"/>
  <c r="K75" i="54" l="1"/>
  <c r="L75" i="54" s="1"/>
  <c r="AI74" i="54"/>
  <c r="I61" i="57"/>
  <c r="E62" i="57" l="1"/>
  <c r="V75" i="54"/>
  <c r="J76" i="54" s="1"/>
  <c r="O75" i="54"/>
  <c r="U75" i="54" s="1"/>
  <c r="N75" i="54"/>
  <c r="F62" i="57" s="1"/>
  <c r="Y75" i="54"/>
  <c r="Q76" i="54"/>
  <c r="T76" i="54" s="1"/>
  <c r="G63" i="57" s="1"/>
  <c r="X76" i="54"/>
  <c r="K76" i="54"/>
  <c r="D63" i="57"/>
  <c r="W76" i="54"/>
  <c r="E63" i="57" l="1"/>
  <c r="L76" i="54"/>
  <c r="V76" i="54"/>
  <c r="J77" i="54" s="1"/>
  <c r="AI75" i="54"/>
  <c r="I62" i="57"/>
  <c r="S80" i="54"/>
  <c r="D64" i="57" l="1"/>
  <c r="W77" i="54"/>
  <c r="Q77" i="54"/>
  <c r="T77" i="54" s="1"/>
  <c r="G64" i="57" s="1"/>
  <c r="X77" i="54"/>
  <c r="O76" i="54"/>
  <c r="U76" i="54" s="1"/>
  <c r="Y76" i="54"/>
  <c r="N76" i="54"/>
  <c r="F63" i="57" s="1"/>
  <c r="K77" i="54" l="1"/>
  <c r="V77" i="54" s="1"/>
  <c r="J78" i="54" s="1"/>
  <c r="AI76" i="54"/>
  <c r="I63" i="57"/>
  <c r="S81" i="54"/>
  <c r="L77" i="54" l="1"/>
  <c r="O77" i="54" s="1"/>
  <c r="U77" i="54" s="1"/>
  <c r="I64" i="57" s="1"/>
  <c r="E64" i="57"/>
  <c r="D65" i="57"/>
  <c r="Q78" i="54"/>
  <c r="T78" i="54" s="1"/>
  <c r="G65" i="57" s="1"/>
  <c r="W78" i="54"/>
  <c r="K78" i="54"/>
  <c r="V78" i="54" s="1"/>
  <c r="J79" i="54" s="1"/>
  <c r="X78" i="54"/>
  <c r="N77" i="54"/>
  <c r="F64" i="57" s="1"/>
  <c r="Y77" i="54"/>
  <c r="AI77" i="54" l="1"/>
  <c r="X79" i="54"/>
  <c r="D66" i="57"/>
  <c r="Q79" i="54"/>
  <c r="T79" i="54" s="1"/>
  <c r="G66" i="57" s="1"/>
  <c r="W79" i="54"/>
  <c r="K79" i="54"/>
  <c r="V79" i="54" s="1"/>
  <c r="J80" i="54" s="1"/>
  <c r="L78" i="54"/>
  <c r="E65" i="57"/>
  <c r="X80" i="54" l="1"/>
  <c r="Q80" i="54"/>
  <c r="T80" i="54" s="1"/>
  <c r="G67" i="57" s="1"/>
  <c r="W80" i="54"/>
  <c r="D67" i="57"/>
  <c r="O78" i="54"/>
  <c r="U78" i="54" s="1"/>
  <c r="N78" i="54"/>
  <c r="F65" i="57" s="1"/>
  <c r="Y78" i="54"/>
  <c r="E66" i="57"/>
  <c r="L79" i="54"/>
  <c r="O79" i="54" s="1"/>
  <c r="U79" i="54" s="1"/>
  <c r="K80" i="54"/>
  <c r="V80" i="54" s="1"/>
  <c r="J81" i="54" s="1"/>
  <c r="D68" i="57" s="1"/>
  <c r="S82" i="54"/>
  <c r="I66" i="57" l="1"/>
  <c r="AI79" i="54"/>
  <c r="AI78" i="54"/>
  <c r="I65" i="57"/>
  <c r="Y79" i="54"/>
  <c r="N79" i="54"/>
  <c r="F66" i="57" s="1"/>
  <c r="L80" i="54"/>
  <c r="Y80" i="54" s="1"/>
  <c r="Q81" i="54"/>
  <c r="X81" i="54"/>
  <c r="W81" i="54"/>
  <c r="E67" i="57"/>
  <c r="N80" i="54" l="1"/>
  <c r="F67" i="57" s="1"/>
  <c r="O80" i="54"/>
  <c r="U80" i="54" s="1"/>
  <c r="AI80" i="54" s="1"/>
  <c r="T81" i="54"/>
  <c r="G68" i="57" s="1"/>
  <c r="K81" i="54"/>
  <c r="S83" i="54"/>
  <c r="W23" i="54"/>
  <c r="I67" i="57" l="1"/>
  <c r="L81" i="54"/>
  <c r="E68" i="57"/>
  <c r="V81" i="54"/>
  <c r="J82" i="54" s="1"/>
  <c r="D69" i="57" l="1"/>
  <c r="X82" i="54"/>
  <c r="Q82" i="54"/>
  <c r="T82" i="54" s="1"/>
  <c r="G69" i="57" s="1"/>
  <c r="W82" i="54"/>
  <c r="O81" i="54"/>
  <c r="U81" i="54" s="1"/>
  <c r="Y81" i="54"/>
  <c r="N81" i="54"/>
  <c r="F68" i="57" s="1"/>
  <c r="K82" i="54" l="1"/>
  <c r="E69" i="57" s="1"/>
  <c r="AI81" i="54"/>
  <c r="I68" i="57"/>
  <c r="S84" i="54"/>
  <c r="L82" i="54" l="1"/>
  <c r="O82" i="54" s="1"/>
  <c r="U82" i="54" s="1"/>
  <c r="AI82" i="54" s="1"/>
  <c r="V82" i="54"/>
  <c r="J83" i="54" s="1"/>
  <c r="D70" i="57" s="1"/>
  <c r="N82" i="54" l="1"/>
  <c r="F69" i="57" s="1"/>
  <c r="Y82" i="54"/>
  <c r="W83" i="54"/>
  <c r="X83" i="54"/>
  <c r="Q83" i="54"/>
  <c r="T83" i="54" s="1"/>
  <c r="G70" i="57" s="1"/>
  <c r="I69" i="57"/>
  <c r="K83" i="54"/>
  <c r="E70" i="57" l="1"/>
  <c r="V83" i="54"/>
  <c r="J84" i="54" s="1"/>
  <c r="L83" i="54"/>
  <c r="S85" i="54"/>
  <c r="D71" i="57" l="1"/>
  <c r="X84" i="54"/>
  <c r="Q84" i="54"/>
  <c r="W84" i="54"/>
  <c r="N83" i="54"/>
  <c r="F70" i="57" s="1"/>
  <c r="Y83" i="54"/>
  <c r="O83" i="54"/>
  <c r="U83" i="54" s="1"/>
  <c r="I70" i="57" l="1"/>
  <c r="AI83" i="54"/>
  <c r="K84" i="54"/>
  <c r="T84" i="54"/>
  <c r="G71" i="57" s="1"/>
  <c r="L84" i="54" l="1"/>
  <c r="O84" i="54" s="1"/>
  <c r="U84" i="54" s="1"/>
  <c r="E71" i="57"/>
  <c r="V84" i="54"/>
  <c r="J85" i="54" s="1"/>
  <c r="S86" i="54"/>
  <c r="S97" i="54"/>
  <c r="AI84" i="54" l="1"/>
  <c r="I71" i="57"/>
  <c r="D72" i="57"/>
  <c r="Q85" i="54"/>
  <c r="W85" i="54"/>
  <c r="X85" i="54"/>
  <c r="Y84" i="54"/>
  <c r="N84" i="54"/>
  <c r="F71" i="57" s="1"/>
  <c r="K85" i="54" l="1"/>
  <c r="T85" i="54"/>
  <c r="G72" i="57" s="1"/>
  <c r="S88" i="54"/>
  <c r="E72" i="57" l="1"/>
  <c r="L85" i="54"/>
  <c r="V85" i="54"/>
  <c r="J86" i="54" s="1"/>
  <c r="S87" i="54"/>
  <c r="D73" i="57" l="1"/>
  <c r="X86" i="54"/>
  <c r="W86" i="54"/>
  <c r="Q86" i="54"/>
  <c r="O85" i="54"/>
  <c r="U85" i="54" s="1"/>
  <c r="N85" i="54"/>
  <c r="F72" i="57" s="1"/>
  <c r="Y85" i="54"/>
  <c r="AI85" i="54" l="1"/>
  <c r="I72" i="57"/>
  <c r="K86" i="54"/>
  <c r="T86" i="54"/>
  <c r="G73" i="57" s="1"/>
  <c r="L86" i="54" l="1"/>
  <c r="O86" i="54" s="1"/>
  <c r="U86" i="54" s="1"/>
  <c r="E73" i="57"/>
  <c r="V86" i="54"/>
  <c r="J87" i="54" s="1"/>
  <c r="D74" i="57" l="1"/>
  <c r="X87" i="54"/>
  <c r="W87" i="54"/>
  <c r="Q87" i="54"/>
  <c r="T87" i="54" s="1"/>
  <c r="G74" i="57" s="1"/>
  <c r="K87" i="54"/>
  <c r="AI86" i="54"/>
  <c r="I73" i="57"/>
  <c r="N86" i="54"/>
  <c r="F73" i="57" s="1"/>
  <c r="Y86" i="54"/>
  <c r="S89" i="54"/>
  <c r="L87" i="54" l="1"/>
  <c r="E74" i="57"/>
  <c r="V87" i="54"/>
  <c r="J88" i="54" s="1"/>
  <c r="D75" i="57" l="1"/>
  <c r="X88" i="54"/>
  <c r="W88" i="54"/>
  <c r="Q88" i="54"/>
  <c r="T88" i="54" s="1"/>
  <c r="G75" i="57" s="1"/>
  <c r="K88" i="54"/>
  <c r="V88" i="54" s="1"/>
  <c r="J89" i="54" s="1"/>
  <c r="O87" i="54"/>
  <c r="U87" i="54" s="1"/>
  <c r="N87" i="54"/>
  <c r="F74" i="57" s="1"/>
  <c r="Y87" i="54"/>
  <c r="S90" i="54"/>
  <c r="X89" i="54" l="1"/>
  <c r="D76" i="57"/>
  <c r="W89" i="54"/>
  <c r="Q89" i="54"/>
  <c r="T89" i="54" s="1"/>
  <c r="G76" i="57" s="1"/>
  <c r="I74" i="57"/>
  <c r="AI87" i="54"/>
  <c r="L88" i="54"/>
  <c r="O88" i="54" s="1"/>
  <c r="U88" i="54" s="1"/>
  <c r="E75" i="57"/>
  <c r="K89" i="54"/>
  <c r="S93" i="54"/>
  <c r="AI88" i="54" l="1"/>
  <c r="I75" i="57"/>
  <c r="N88" i="54"/>
  <c r="F75" i="57" s="1"/>
  <c r="Y88" i="54"/>
  <c r="L89" i="54"/>
  <c r="O89" i="54" s="1"/>
  <c r="U89" i="54" s="1"/>
  <c r="V89" i="54"/>
  <c r="J90" i="54" s="1"/>
  <c r="E76" i="57"/>
  <c r="S91" i="54"/>
  <c r="X90" i="54" l="1"/>
  <c r="D77" i="57"/>
  <c r="Q90" i="54"/>
  <c r="T90" i="54" s="1"/>
  <c r="G77" i="57" s="1"/>
  <c r="W90" i="54"/>
  <c r="K90" i="54"/>
  <c r="AI89" i="54"/>
  <c r="I76" i="57"/>
  <c r="Y89" i="54"/>
  <c r="N89" i="54"/>
  <c r="F76" i="57" s="1"/>
  <c r="S92" i="54"/>
  <c r="V90" i="54" l="1"/>
  <c r="J91" i="54" s="1"/>
  <c r="E77" i="57"/>
  <c r="L90" i="54"/>
  <c r="N90" i="54" l="1"/>
  <c r="F77" i="57" s="1"/>
  <c r="Y90" i="54"/>
  <c r="W91" i="54"/>
  <c r="D78" i="57"/>
  <c r="X91" i="54"/>
  <c r="Q91" i="54"/>
  <c r="T91" i="54" s="1"/>
  <c r="G78" i="57" s="1"/>
  <c r="O90" i="54"/>
  <c r="U90" i="54" s="1"/>
  <c r="K91" i="54" l="1"/>
  <c r="V91" i="54" s="1"/>
  <c r="J92" i="54" s="1"/>
  <c r="I77" i="57"/>
  <c r="AI90" i="54"/>
  <c r="W22" i="54"/>
  <c r="W24" i="54" s="1"/>
  <c r="L91" i="54" l="1"/>
  <c r="O91" i="54" s="1"/>
  <c r="U91" i="54" s="1"/>
  <c r="I78" i="57" s="1"/>
  <c r="E78" i="57"/>
  <c r="N91" i="54"/>
  <c r="F78" i="57" s="1"/>
  <c r="Y91" i="54"/>
  <c r="X92" i="54"/>
  <c r="Q92" i="54"/>
  <c r="T92" i="54" s="1"/>
  <c r="G79" i="57" s="1"/>
  <c r="K92" i="54"/>
  <c r="W92" i="54"/>
  <c r="D79" i="57"/>
  <c r="S96" i="54"/>
  <c r="AI91" i="54" l="1"/>
  <c r="E79" i="57"/>
  <c r="L92" i="54"/>
  <c r="O92" i="54" s="1"/>
  <c r="U92" i="54" s="1"/>
  <c r="W27" i="54"/>
  <c r="V92" i="54"/>
  <c r="J93" i="54" s="1"/>
  <c r="S94" i="54"/>
  <c r="AI92" i="54" l="1"/>
  <c r="I79" i="57"/>
  <c r="D80" i="57"/>
  <c r="Q93" i="54"/>
  <c r="T93" i="54" s="1"/>
  <c r="G80" i="57" s="1"/>
  <c r="W93" i="54"/>
  <c r="X93" i="54"/>
  <c r="K93" i="54"/>
  <c r="N92" i="54"/>
  <c r="F79" i="57" s="1"/>
  <c r="Y92" i="54"/>
  <c r="L93" i="54" l="1"/>
  <c r="O93" i="54" s="1"/>
  <c r="U93" i="54" s="1"/>
  <c r="E80" i="57"/>
  <c r="V93" i="54"/>
  <c r="J94" i="54" s="1"/>
  <c r="D81" i="57" l="1"/>
  <c r="W94" i="54"/>
  <c r="Q94" i="54"/>
  <c r="X94" i="54"/>
  <c r="AI93" i="54"/>
  <c r="I80" i="57"/>
  <c r="N93" i="54"/>
  <c r="F80" i="57" s="1"/>
  <c r="Y93" i="54"/>
  <c r="S95" i="54"/>
  <c r="K94" i="54" l="1"/>
  <c r="T94" i="54"/>
  <c r="G81" i="57" s="1"/>
  <c r="L94" i="54" l="1"/>
  <c r="O94" i="54" s="1"/>
  <c r="U94" i="54" s="1"/>
  <c r="E81" i="57"/>
  <c r="V94" i="54"/>
  <c r="J95" i="54" s="1"/>
  <c r="D82" i="57" l="1"/>
  <c r="X95" i="54"/>
  <c r="Q95" i="54"/>
  <c r="T95" i="54" s="1"/>
  <c r="G82" i="57" s="1"/>
  <c r="W95" i="54"/>
  <c r="AI94" i="54"/>
  <c r="I81" i="57"/>
  <c r="N94" i="54"/>
  <c r="F81" i="57" s="1"/>
  <c r="Y94" i="54"/>
  <c r="K95" i="54" l="1"/>
  <c r="L95" i="54" l="1"/>
  <c r="E82" i="57"/>
  <c r="V95" i="54"/>
  <c r="J96" i="54" s="1"/>
  <c r="S98" i="54"/>
  <c r="D83" i="57" l="1"/>
  <c r="Q96" i="54"/>
  <c r="T96" i="54" s="1"/>
  <c r="G83" i="57" s="1"/>
  <c r="K96" i="54"/>
  <c r="V96" i="54" s="1"/>
  <c r="J97" i="54" s="1"/>
  <c r="W96" i="54"/>
  <c r="X96" i="54"/>
  <c r="O95" i="54"/>
  <c r="U95" i="54" s="1"/>
  <c r="N95" i="54"/>
  <c r="F82" i="57" s="1"/>
  <c r="Y95" i="54"/>
  <c r="W97" i="54" l="1"/>
  <c r="D84" i="57"/>
  <c r="X97" i="54"/>
  <c r="Q97" i="54"/>
  <c r="T97" i="54" s="1"/>
  <c r="G84" i="57" s="1"/>
  <c r="K97" i="54"/>
  <c r="V97" i="54" s="1"/>
  <c r="J98" i="54" s="1"/>
  <c r="AI95" i="54"/>
  <c r="I82" i="57"/>
  <c r="E83" i="57"/>
  <c r="L96" i="54"/>
  <c r="O96" i="54" s="1"/>
  <c r="U96" i="54" s="1"/>
  <c r="D85" i="57" l="1"/>
  <c r="X98" i="54"/>
  <c r="Q98" i="54"/>
  <c r="K98" i="54" s="1"/>
  <c r="L98" i="54" s="1"/>
  <c r="W98" i="54"/>
  <c r="E84" i="57"/>
  <c r="L97" i="54"/>
  <c r="AI96" i="54"/>
  <c r="I83" i="57"/>
  <c r="Y96" i="54"/>
  <c r="N96" i="54"/>
  <c r="F83" i="57" s="1"/>
  <c r="Y98" i="54" l="1"/>
  <c r="T98" i="54"/>
  <c r="G85" i="57" s="1"/>
  <c r="O97" i="54"/>
  <c r="U97" i="54" s="1"/>
  <c r="Y97" i="54"/>
  <c r="N97" i="54"/>
  <c r="F84" i="57" s="1"/>
  <c r="E85" i="57"/>
  <c r="N98" i="54"/>
  <c r="F85" i="57" s="1"/>
  <c r="O98" i="54"/>
  <c r="V98" i="54"/>
  <c r="J99" i="54" s="1"/>
  <c r="D86" i="57" s="1"/>
  <c r="U98" i="54" l="1"/>
  <c r="AI98" i="54" s="1"/>
  <c r="AI97" i="54"/>
  <c r="I84" i="57"/>
  <c r="X99" i="54"/>
  <c r="Q99" i="54"/>
  <c r="T99" i="54" s="1"/>
  <c r="G86" i="57" s="1"/>
  <c r="W99" i="54"/>
  <c r="I85" i="57" l="1"/>
  <c r="K99" i="54"/>
  <c r="L99" i="54" l="1"/>
  <c r="N99" i="54" s="1"/>
  <c r="F86" i="57" s="1"/>
  <c r="E86" i="57"/>
  <c r="V99" i="54"/>
  <c r="J100" i="54" s="1"/>
  <c r="Q100" i="54" s="1"/>
  <c r="T100" i="54" s="1"/>
  <c r="G87" i="57" s="1"/>
  <c r="W100" i="54" l="1"/>
  <c r="X100" i="54"/>
  <c r="O99" i="54"/>
  <c r="U99" i="54" s="1"/>
  <c r="Y99" i="54"/>
  <c r="K100" i="54"/>
  <c r="D87" i="57"/>
  <c r="L100" i="54" l="1"/>
  <c r="E87" i="57"/>
  <c r="V100" i="54"/>
  <c r="J101" i="54" s="1"/>
  <c r="D88" i="57" s="1"/>
  <c r="AI99" i="54"/>
  <c r="I86" i="57"/>
  <c r="X101" i="54" l="1"/>
  <c r="Q101" i="54"/>
  <c r="K101" i="54" s="1"/>
  <c r="E88" i="57" s="1"/>
  <c r="W101" i="54"/>
  <c r="N100" i="54"/>
  <c r="F87" i="57" s="1"/>
  <c r="Y100" i="54"/>
  <c r="O100" i="54"/>
  <c r="U100" i="54" s="1"/>
  <c r="L101" i="54" l="1"/>
  <c r="Y101" i="54" s="1"/>
  <c r="T101" i="54"/>
  <c r="G88" i="57" s="1"/>
  <c r="AI100" i="54"/>
  <c r="I87" i="57"/>
  <c r="V101" i="54"/>
  <c r="J102" i="54" s="1"/>
  <c r="O101" i="54" l="1"/>
  <c r="U101" i="54" s="1"/>
  <c r="AI101" i="54" s="1"/>
  <c r="N101" i="54"/>
  <c r="F88" i="57" s="1"/>
  <c r="W102" i="54"/>
  <c r="D89" i="57"/>
  <c r="X102" i="54"/>
  <c r="Q102" i="54"/>
  <c r="T102" i="54" s="1"/>
  <c r="G89" i="57" s="1"/>
  <c r="K102" i="54" l="1"/>
  <c r="L102" i="54" s="1"/>
  <c r="N102" i="54" s="1"/>
  <c r="F89" i="57" s="1"/>
  <c r="I88" i="57"/>
  <c r="E89" i="57" l="1"/>
  <c r="V102" i="54"/>
  <c r="J103" i="54" s="1"/>
  <c r="D90" i="57" s="1"/>
  <c r="O102" i="54"/>
  <c r="U102" i="54" s="1"/>
  <c r="I89" i="57" s="1"/>
  <c r="Y102" i="54"/>
  <c r="AI102" i="54" l="1"/>
  <c r="X103" i="54"/>
  <c r="W103" i="54"/>
  <c r="Q103" i="54"/>
  <c r="T103" i="54" s="1"/>
  <c r="G90" i="57" s="1"/>
  <c r="K103" i="54" l="1"/>
  <c r="L103" i="54" l="1"/>
  <c r="N103" i="54" s="1"/>
  <c r="F90" i="57" s="1"/>
  <c r="E90" i="57"/>
  <c r="V103" i="54"/>
  <c r="O103" i="54" l="1"/>
  <c r="U103" i="54" s="1"/>
  <c r="I90" i="57" s="1"/>
  <c r="Y103" i="54"/>
  <c r="J104" i="54"/>
  <c r="D91" i="57" s="1"/>
  <c r="K23" i="54"/>
  <c r="AI103" i="54" l="1"/>
  <c r="AE97" i="54"/>
  <c r="AE57" i="54"/>
  <c r="AE59" i="54"/>
  <c r="AE80" i="54"/>
  <c r="AE69" i="54"/>
  <c r="AE100" i="54"/>
  <c r="AE38" i="54"/>
  <c r="AE47" i="54"/>
  <c r="AE40" i="54"/>
  <c r="AE79" i="54"/>
  <c r="AE101" i="54"/>
  <c r="AE87" i="54"/>
  <c r="AE51" i="54"/>
  <c r="AE76" i="54"/>
  <c r="AE78" i="54"/>
  <c r="AE104" i="54"/>
  <c r="AE52" i="54"/>
  <c r="AE48" i="54"/>
  <c r="AE95" i="54"/>
  <c r="AE64" i="54"/>
  <c r="AE73" i="54"/>
  <c r="AE35" i="54"/>
  <c r="AE96" i="54"/>
  <c r="AE90" i="54"/>
  <c r="AE68" i="54"/>
  <c r="AE84" i="54"/>
  <c r="AE49" i="54"/>
  <c r="AE85" i="54"/>
  <c r="AE55" i="54"/>
  <c r="AE75" i="54"/>
  <c r="AE42" i="54"/>
  <c r="AE43" i="54"/>
  <c r="AE62" i="54"/>
  <c r="AE98" i="54"/>
  <c r="AE94" i="54"/>
  <c r="AE102" i="54"/>
  <c r="AE86" i="54"/>
  <c r="AE82" i="54"/>
  <c r="AE54" i="54"/>
  <c r="AE41" i="54"/>
  <c r="AE93" i="54"/>
  <c r="AE83" i="54"/>
  <c r="AE103" i="54"/>
  <c r="AE72" i="54"/>
  <c r="AE33" i="54"/>
  <c r="AC33" i="54" s="1"/>
  <c r="AF33" i="54" s="1"/>
  <c r="AB34" i="54" s="1"/>
  <c r="AD34" i="54" s="1"/>
  <c r="AE77" i="54"/>
  <c r="AE53" i="54"/>
  <c r="AE36" i="54"/>
  <c r="AE39" i="54"/>
  <c r="AE37" i="54"/>
  <c r="AE46" i="54"/>
  <c r="AE34" i="54"/>
  <c r="AE74" i="54"/>
  <c r="AE44" i="54"/>
  <c r="AE61" i="54"/>
  <c r="AE60" i="54"/>
  <c r="AE67" i="54"/>
  <c r="AE88" i="54"/>
  <c r="AE99" i="54"/>
  <c r="AE50" i="54"/>
  <c r="AE71" i="54"/>
  <c r="AE66" i="54"/>
  <c r="AE56" i="54"/>
  <c r="AE45" i="54"/>
  <c r="AE81" i="54"/>
  <c r="AE58" i="54"/>
  <c r="AE91" i="54"/>
  <c r="AE65" i="54"/>
  <c r="AE92" i="54"/>
  <c r="AE63" i="54"/>
  <c r="AE89" i="54"/>
  <c r="AE70" i="54"/>
  <c r="X104" i="54"/>
  <c r="W104" i="54"/>
  <c r="Q26" i="54" s="1"/>
  <c r="R26" i="54" s="1"/>
  <c r="Q104" i="54"/>
  <c r="T104" i="54" s="1"/>
  <c r="G91" i="57" s="1"/>
  <c r="AC34" i="54" l="1"/>
  <c r="AF34" i="54" s="1"/>
  <c r="AB35" i="54" s="1"/>
  <c r="AD35" i="54" s="1"/>
  <c r="AC35" i="54" s="1"/>
  <c r="AF35" i="54" s="1"/>
  <c r="AB36" i="54" s="1"/>
  <c r="AD36" i="54" s="1"/>
  <c r="AC36" i="54" s="1"/>
  <c r="AF36" i="54" s="1"/>
  <c r="AB37" i="54" s="1"/>
  <c r="AD37" i="54" s="1"/>
  <c r="AC37" i="54" s="1"/>
  <c r="AF37" i="54" s="1"/>
  <c r="AB38" i="54" s="1"/>
  <c r="AD38" i="54" s="1"/>
  <c r="AC38" i="54" s="1"/>
  <c r="AF38" i="54" s="1"/>
  <c r="AB39" i="54" s="1"/>
  <c r="AD39" i="54" s="1"/>
  <c r="AC39" i="54" s="1"/>
  <c r="AF39" i="54" s="1"/>
  <c r="AB40" i="54" s="1"/>
  <c r="AD40" i="54" s="1"/>
  <c r="AC40" i="54" s="1"/>
  <c r="AF40" i="54" s="1"/>
  <c r="AB41" i="54" s="1"/>
  <c r="AD41" i="54" s="1"/>
  <c r="AC41" i="54" s="1"/>
  <c r="AF41" i="54" s="1"/>
  <c r="AB42" i="54" s="1"/>
  <c r="AD42" i="54" s="1"/>
  <c r="AC42" i="54" s="1"/>
  <c r="AF42" i="54" s="1"/>
  <c r="AB43" i="54" s="1"/>
  <c r="AD43" i="54" s="1"/>
  <c r="AC43" i="54" s="1"/>
  <c r="AF43" i="54" s="1"/>
  <c r="AB44" i="54" s="1"/>
  <c r="AD44" i="54" s="1"/>
  <c r="AC44" i="54" s="1"/>
  <c r="AF44" i="54" s="1"/>
  <c r="AB45" i="54" s="1"/>
  <c r="AD45" i="54" s="1"/>
  <c r="AC45" i="54" s="1"/>
  <c r="AF45" i="54" s="1"/>
  <c r="AB46" i="54" s="1"/>
  <c r="AD46" i="54" s="1"/>
  <c r="AC46" i="54" s="1"/>
  <c r="AF46" i="54" s="1"/>
  <c r="AB47" i="54" s="1"/>
  <c r="AD47" i="54" s="1"/>
  <c r="AC47" i="54" s="1"/>
  <c r="AF47" i="54" s="1"/>
  <c r="AB48" i="54" s="1"/>
  <c r="AD48" i="54" s="1"/>
  <c r="AC48" i="54" s="1"/>
  <c r="AF48" i="54" s="1"/>
  <c r="AB49" i="54" s="1"/>
  <c r="AD49" i="54" s="1"/>
  <c r="AC49" i="54" s="1"/>
  <c r="AF49" i="54" s="1"/>
  <c r="AB50" i="54" s="1"/>
  <c r="AD50" i="54" s="1"/>
  <c r="AC50" i="54" s="1"/>
  <c r="AF50" i="54" s="1"/>
  <c r="AB51" i="54" s="1"/>
  <c r="AD51" i="54" s="1"/>
  <c r="AC51" i="54" s="1"/>
  <c r="AF51" i="54" s="1"/>
  <c r="AB52" i="54" s="1"/>
  <c r="AD52" i="54" s="1"/>
  <c r="AC52" i="54" s="1"/>
  <c r="AF52" i="54" s="1"/>
  <c r="AB53" i="54" s="1"/>
  <c r="AD53" i="54" s="1"/>
  <c r="AC53" i="54" s="1"/>
  <c r="AF53" i="54" s="1"/>
  <c r="AB54" i="54" s="1"/>
  <c r="AD54" i="54" s="1"/>
  <c r="AC54" i="54" s="1"/>
  <c r="AF54" i="54" s="1"/>
  <c r="AB55" i="54" s="1"/>
  <c r="AD55" i="54" s="1"/>
  <c r="AC55" i="54" s="1"/>
  <c r="AF55" i="54" s="1"/>
  <c r="AB56" i="54" s="1"/>
  <c r="AD56" i="54" s="1"/>
  <c r="AC56" i="54" s="1"/>
  <c r="AF56" i="54" s="1"/>
  <c r="AB57" i="54" s="1"/>
  <c r="AD57" i="54" s="1"/>
  <c r="AC57" i="54" s="1"/>
  <c r="AF57" i="54" s="1"/>
  <c r="AB58" i="54" s="1"/>
  <c r="AD58" i="54" s="1"/>
  <c r="AC58" i="54" s="1"/>
  <c r="AF58" i="54" s="1"/>
  <c r="AB59" i="54" s="1"/>
  <c r="AD59" i="54" s="1"/>
  <c r="AC59" i="54" s="1"/>
  <c r="AF59" i="54" s="1"/>
  <c r="AB60" i="54" s="1"/>
  <c r="AD60" i="54" s="1"/>
  <c r="AC60" i="54" s="1"/>
  <c r="AF60" i="54" s="1"/>
  <c r="AB61" i="54" s="1"/>
  <c r="AD61" i="54" s="1"/>
  <c r="AC61" i="54" s="1"/>
  <c r="AF61" i="54" s="1"/>
  <c r="AB62" i="54" s="1"/>
  <c r="AD62" i="54" s="1"/>
  <c r="AC62" i="54" s="1"/>
  <c r="AF62" i="54" s="1"/>
  <c r="AB63" i="54" s="1"/>
  <c r="AD63" i="54" s="1"/>
  <c r="AC63" i="54" s="1"/>
  <c r="AF63" i="54" s="1"/>
  <c r="AB64" i="54" s="1"/>
  <c r="AD64" i="54" s="1"/>
  <c r="AC64" i="54" s="1"/>
  <c r="AF64" i="54" s="1"/>
  <c r="AB65" i="54" s="1"/>
  <c r="AD65" i="54" s="1"/>
  <c r="AC65" i="54" s="1"/>
  <c r="AF65" i="54" s="1"/>
  <c r="AB66" i="54" s="1"/>
  <c r="AD66" i="54" s="1"/>
  <c r="AC66" i="54" s="1"/>
  <c r="AF66" i="54" s="1"/>
  <c r="AB67" i="54" s="1"/>
  <c r="AD67" i="54" s="1"/>
  <c r="AC67" i="54" s="1"/>
  <c r="AF67" i="54" s="1"/>
  <c r="AB68" i="54" s="1"/>
  <c r="AD68" i="54" s="1"/>
  <c r="AC68" i="54" s="1"/>
  <c r="AF68" i="54" s="1"/>
  <c r="AB69" i="54" s="1"/>
  <c r="AD69" i="54" s="1"/>
  <c r="AC69" i="54" s="1"/>
  <c r="AF69" i="54" s="1"/>
  <c r="AB70" i="54" s="1"/>
  <c r="AD70" i="54" s="1"/>
  <c r="AC70" i="54" s="1"/>
  <c r="AF70" i="54" s="1"/>
  <c r="AB71" i="54" s="1"/>
  <c r="AD71" i="54" s="1"/>
  <c r="AC71" i="54" s="1"/>
  <c r="AF71" i="54" s="1"/>
  <c r="AB72" i="54" s="1"/>
  <c r="AD72" i="54" s="1"/>
  <c r="AC72" i="54" s="1"/>
  <c r="AF72" i="54" s="1"/>
  <c r="AB73" i="54" s="1"/>
  <c r="AD73" i="54" s="1"/>
  <c r="AC73" i="54" s="1"/>
  <c r="AF73" i="54" s="1"/>
  <c r="AB74" i="54" s="1"/>
  <c r="AD74" i="54" s="1"/>
  <c r="AC74" i="54" s="1"/>
  <c r="AF74" i="54" s="1"/>
  <c r="AB75" i="54" s="1"/>
  <c r="AD75" i="54" s="1"/>
  <c r="AC75" i="54" s="1"/>
  <c r="AF75" i="54" s="1"/>
  <c r="AB76" i="54" s="1"/>
  <c r="AD76" i="54" s="1"/>
  <c r="AC76" i="54" s="1"/>
  <c r="AF76" i="54" s="1"/>
  <c r="AB77" i="54" s="1"/>
  <c r="AD77" i="54" s="1"/>
  <c r="AC77" i="54" s="1"/>
  <c r="AF77" i="54" s="1"/>
  <c r="AB78" i="54" s="1"/>
  <c r="AD78" i="54" s="1"/>
  <c r="AC78" i="54" s="1"/>
  <c r="AF78" i="54" s="1"/>
  <c r="AB79" i="54" s="1"/>
  <c r="AD79" i="54" s="1"/>
  <c r="AC79" i="54" s="1"/>
  <c r="AF79" i="54" s="1"/>
  <c r="AB80" i="54" s="1"/>
  <c r="AD80" i="54" s="1"/>
  <c r="AC80" i="54" s="1"/>
  <c r="AF80" i="54" s="1"/>
  <c r="AB81" i="54" s="1"/>
  <c r="AD81" i="54" s="1"/>
  <c r="AC81" i="54" s="1"/>
  <c r="AF81" i="54" s="1"/>
  <c r="AB82" i="54" s="1"/>
  <c r="AD82" i="54" s="1"/>
  <c r="AC82" i="54" s="1"/>
  <c r="AF82" i="54" s="1"/>
  <c r="AB83" i="54" s="1"/>
  <c r="AD83" i="54" s="1"/>
  <c r="AC83" i="54" s="1"/>
  <c r="AF83" i="54" s="1"/>
  <c r="AB84" i="54" s="1"/>
  <c r="AD84" i="54" s="1"/>
  <c r="AC84" i="54" s="1"/>
  <c r="AF84" i="54" s="1"/>
  <c r="AB85" i="54" s="1"/>
  <c r="AD85" i="54" s="1"/>
  <c r="AC85" i="54" s="1"/>
  <c r="AF85" i="54" s="1"/>
  <c r="AB86" i="54" s="1"/>
  <c r="AD86" i="54" s="1"/>
  <c r="AC86" i="54" s="1"/>
  <c r="AF86" i="54" s="1"/>
  <c r="AB87" i="54" s="1"/>
  <c r="AD87" i="54" s="1"/>
  <c r="AC87" i="54" s="1"/>
  <c r="AF87" i="54" s="1"/>
  <c r="AB88" i="54" s="1"/>
  <c r="AD88" i="54" s="1"/>
  <c r="AC88" i="54" s="1"/>
  <c r="AF88" i="54" s="1"/>
  <c r="AB89" i="54" s="1"/>
  <c r="K104" i="54"/>
  <c r="K31" i="54" s="1"/>
  <c r="L104" i="54" l="1"/>
  <c r="N104" i="54" s="1"/>
  <c r="F91" i="57" s="1"/>
  <c r="E91" i="57"/>
  <c r="W28" i="54"/>
  <c r="V104" i="54"/>
  <c r="Q22" i="54" s="1"/>
  <c r="AD89" i="54"/>
  <c r="AC89" i="54" s="1"/>
  <c r="AF89" i="54" s="1"/>
  <c r="AB90" i="54" s="1"/>
  <c r="O104" i="54" l="1"/>
  <c r="U104" i="54" s="1"/>
  <c r="I91" i="57" s="1"/>
  <c r="Y104" i="54"/>
  <c r="D14" i="49"/>
  <c r="E14" i="49" s="1"/>
  <c r="Q24" i="54"/>
  <c r="Q25" i="54" s="1"/>
  <c r="Q27" i="54"/>
  <c r="F14" i="49"/>
  <c r="G14" i="49" s="1"/>
  <c r="AD90" i="54"/>
  <c r="AC90" i="54" s="1"/>
  <c r="AF90" i="54" s="1"/>
  <c r="AB91" i="54" s="1"/>
  <c r="AI104" i="54" l="1"/>
  <c r="AI31" i="54" s="1"/>
  <c r="G15" i="57" s="1"/>
  <c r="AD91" i="54"/>
  <c r="AC91" i="54" s="1"/>
  <c r="AF91" i="54" s="1"/>
  <c r="AB92" i="54" s="1"/>
  <c r="Q17" i="54" l="1"/>
  <c r="AD92" i="54"/>
  <c r="AC92" i="54" s="1"/>
  <c r="AF92" i="54" s="1"/>
  <c r="AB93" i="54" s="1"/>
  <c r="AD93" i="54" l="1"/>
  <c r="AC93" i="54" s="1"/>
  <c r="AF93" i="54" s="1"/>
  <c r="AB94" i="54" s="1"/>
  <c r="AD94" i="54" l="1"/>
  <c r="AC94" i="54" s="1"/>
  <c r="AF94" i="54" s="1"/>
  <c r="AB95" i="54" s="1"/>
  <c r="AD95" i="54" l="1"/>
  <c r="AC95" i="54" s="1"/>
  <c r="AF95" i="54" s="1"/>
  <c r="AB96" i="54" s="1"/>
  <c r="AD96" i="54" l="1"/>
  <c r="AC96" i="54" s="1"/>
  <c r="AF96" i="54" s="1"/>
  <c r="AB97" i="54" s="1"/>
  <c r="AD97" i="54" l="1"/>
  <c r="AC97" i="54" s="1"/>
  <c r="AF97" i="54" s="1"/>
  <c r="AB98" i="54" s="1"/>
  <c r="AD98" i="54" l="1"/>
  <c r="AC98" i="54" s="1"/>
  <c r="AF98" i="54" s="1"/>
  <c r="AB99" i="54" s="1"/>
  <c r="AD99" i="54" l="1"/>
  <c r="AC99" i="54" s="1"/>
  <c r="AF99" i="54" s="1"/>
  <c r="AB100" i="54" s="1"/>
  <c r="AD100" i="54" l="1"/>
  <c r="AC100" i="54" s="1"/>
  <c r="AF100" i="54" s="1"/>
  <c r="AB101" i="54" s="1"/>
  <c r="AD101" i="54" l="1"/>
  <c r="AC101" i="54" s="1"/>
  <c r="AF101" i="54" s="1"/>
  <c r="AB102" i="54" s="1"/>
  <c r="AD102" i="54" l="1"/>
  <c r="AC102" i="54" s="1"/>
  <c r="AF102" i="54" s="1"/>
  <c r="AB103" i="54" s="1"/>
  <c r="AD103" i="54" l="1"/>
  <c r="AC103" i="54" s="1"/>
  <c r="AF103" i="54" s="1"/>
  <c r="AB104" i="54" s="1"/>
  <c r="AD104" i="54" l="1"/>
  <c r="AC104" i="54" s="1"/>
  <c r="AF104" i="5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RENRUI</author>
    <author>tc={100CD69C-CE7A-4773-8A9E-F5B0353CBF3F}</author>
    <author>Ruiz Renguifo Renato</author>
    <author>RUIZ</author>
  </authors>
  <commentList>
    <comment ref="Q11" authorId="0" shapeId="0" xr:uid="{FCCD911F-C7D2-41A3-B61A-426CA17C82D8}">
      <text>
        <r>
          <rPr>
            <b/>
            <sz val="8"/>
            <color indexed="81"/>
            <rFont val="Tahoma"/>
            <family val="2"/>
          </rPr>
          <t>RENRUI:</t>
        </r>
        <r>
          <rPr>
            <sz val="8"/>
            <color indexed="81"/>
            <rFont val="Tahoma"/>
            <family val="2"/>
          </rPr>
          <t xml:space="preserve">
Formula:
                          1/12
j= m.((1+TEA) . -1)</t>
        </r>
      </text>
    </comment>
    <comment ref="S26" authorId="1" shapeId="0" xr:uid="{100CD69C-CE7A-4773-8A9E-F5B0353CBF3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copia el valor de la celda Q26 solo en  la primera corrida, siempre que sea mayor a cero</t>
      </text>
    </comment>
    <comment ref="K28" authorId="2" shapeId="0" xr:uid="{D6510F3C-8FFF-4154-B4FA-FBC51E88F0CD}">
      <text>
        <r>
          <rPr>
            <sz val="9"/>
            <color indexed="81"/>
            <rFont val="Tahoma"/>
            <family val="2"/>
          </rPr>
          <t xml:space="preserve">Valor de cuota a utilizar para el RCI
</t>
        </r>
      </text>
    </comment>
    <comment ref="C32" authorId="2" shapeId="0" xr:uid="{34593371-DB56-4860-86CD-F5CA4B199C63}">
      <text>
        <r>
          <rPr>
            <sz val="9"/>
            <color indexed="81"/>
            <rFont val="Tahoma"/>
            <family val="2"/>
          </rPr>
          <t xml:space="preserve">Se ha tenido que adaptar una formula para que considere el No pago
</t>
        </r>
      </text>
    </comment>
    <comment ref="K33" authorId="2" shapeId="0" xr:uid="{B5124BB4-56B1-40DD-B631-9B84F0F74A32}">
      <text>
        <r>
          <rPr>
            <sz val="9"/>
            <color indexed="81"/>
            <rFont val="Tahoma"/>
            <family val="2"/>
          </rPr>
          <t>Si el valor del importe de gracia sobrepasa el capital, debería mantenerse el artificio del 0.01</t>
        </r>
      </text>
    </comment>
    <comment ref="Q33" authorId="3" shapeId="0" xr:uid="{D6FADCA9-3C60-47B4-92F1-0D7FEE4F348F}">
      <text>
        <r>
          <rPr>
            <sz val="9"/>
            <color indexed="81"/>
            <rFont val="Tahoma"/>
            <family val="2"/>
          </rPr>
          <t xml:space="preserve">Se suma las celdas con valor en la columna "U" (Importe de Gracia Desgravemen)
</t>
        </r>
      </text>
    </comment>
    <comment ref="K38" authorId="2" shapeId="0" xr:uid="{0CA8051F-E2B4-4EB9-A1CF-0FA9AC7C484B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K42" authorId="2" shapeId="0" xr:uid="{C82B3728-1E51-42E6-B723-075738EDDD98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K48" authorId="2" shapeId="0" xr:uid="{6B5F3CCD-D87E-46C3-A8FB-3E887632241C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K52" authorId="2" shapeId="0" xr:uid="{7965FE08-23E0-46F3-99F0-3610F277D621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K58" authorId="2" shapeId="0" xr:uid="{A8A35778-417C-4DF0-8E5E-280FE7F5878E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K62" authorId="2" shapeId="0" xr:uid="{45002876-3735-4E90-9E94-887F6C31377E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K68" authorId="2" shapeId="0" xr:uid="{7F1E3579-4D3B-4708-9093-C2FAA2943490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K72" authorId="2" shapeId="0" xr:uid="{5B37F6FA-5C5D-4940-AFDD-D605BB03C6B1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K78" authorId="2" shapeId="0" xr:uid="{87109ABB-6A28-4EA6-9F6C-CC3C8F5FD215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K82" authorId="2" shapeId="0" xr:uid="{C1A44637-633C-4AED-AF08-2A6D7025B76C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K88" authorId="2" shapeId="0" xr:uid="{0D5A2BC4-928E-4177-B1AC-B7C42EB6856F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K92" authorId="2" shapeId="0" xr:uid="{C088959E-A4F7-44F8-AC5E-35887FD0911A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RENRUI</author>
    <author>Ruiz Renguifo Renato</author>
    <author>RUIZ</author>
  </authors>
  <commentList>
    <comment ref="P11" authorId="0" shapeId="0" xr:uid="{63474AA2-06D1-4E6D-93FE-B3584147E645}">
      <text>
        <r>
          <rPr>
            <b/>
            <sz val="8"/>
            <color indexed="81"/>
            <rFont val="Tahoma"/>
            <family val="2"/>
          </rPr>
          <t>RENRUI:</t>
        </r>
        <r>
          <rPr>
            <sz val="8"/>
            <color indexed="81"/>
            <rFont val="Tahoma"/>
            <family val="2"/>
          </rPr>
          <t xml:space="preserve">
Formula:
                          1/12
j= m.((1+TEA) . -1)</t>
        </r>
      </text>
    </comment>
    <comment ref="J28" authorId="1" shapeId="0" xr:uid="{6E9F556B-BCC2-43FA-A8CC-B3D51926A967}">
      <text>
        <r>
          <rPr>
            <sz val="9"/>
            <color indexed="81"/>
            <rFont val="Tahoma"/>
            <family val="2"/>
          </rPr>
          <t xml:space="preserve">Valor de cuota a utilizar para el RCI
</t>
        </r>
      </text>
    </comment>
    <comment ref="C31" authorId="1" shapeId="0" xr:uid="{3BCF803F-1E83-4E63-A1D7-5C009B9A4F97}">
      <text>
        <r>
          <rPr>
            <sz val="9"/>
            <color indexed="81"/>
            <rFont val="Tahoma"/>
            <family val="2"/>
          </rPr>
          <t xml:space="preserve">Se ha tenido que adaptar una formula para que considere el No pago
</t>
        </r>
      </text>
    </comment>
    <comment ref="J32" authorId="1" shapeId="0" xr:uid="{F083E63D-2F9E-469A-95B5-FC3B044AE603}">
      <text>
        <r>
          <rPr>
            <sz val="9"/>
            <color indexed="81"/>
            <rFont val="Tahoma"/>
            <family val="2"/>
          </rPr>
          <t>Si el valor del importe de gracia sobrepasa el capital, debería mantenerse el artificio del 0.01</t>
        </r>
      </text>
    </comment>
    <comment ref="P32" authorId="2" shapeId="0" xr:uid="{042EF2D1-6987-4834-8609-9A99B3E80BBF}">
      <text>
        <r>
          <rPr>
            <sz val="9"/>
            <color indexed="81"/>
            <rFont val="Tahoma"/>
            <family val="2"/>
          </rPr>
          <t xml:space="preserve">Se suma las celdas con valor en la columna "S" (Importe de Gracia Desgravemen)
</t>
        </r>
      </text>
    </comment>
    <comment ref="J37" authorId="1" shapeId="0" xr:uid="{12F64B53-B2DE-4C89-AD1B-9754D72DBE0F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J41" authorId="1" shapeId="0" xr:uid="{F69D02F3-2C7F-411F-B7BE-3F40F1991B18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J47" authorId="1" shapeId="0" xr:uid="{7B4C505A-2C8F-4DC9-9016-6968F1663BC8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J51" authorId="1" shapeId="0" xr:uid="{8CDE4B17-99C2-4B9A-9B62-B604C3BD71F7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J57" authorId="1" shapeId="0" xr:uid="{958E6EDC-851E-4317-AC37-B763BA4656AD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J61" authorId="1" shapeId="0" xr:uid="{C9E4E098-8D19-4071-AB9E-295927A8EB25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J67" authorId="1" shapeId="0" xr:uid="{52C25B8B-1669-4F03-B460-488846BE5801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J71" authorId="1" shapeId="0" xr:uid="{9968ECB3-D8ED-4892-A2A7-E38EBFE3F775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J77" authorId="1" shapeId="0" xr:uid="{A5110771-4CCE-405A-84D5-C53A421A9DA3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J81" authorId="1" shapeId="0" xr:uid="{3BEC8906-4C73-4D18-849B-7F1AC9E2BBD2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J87" authorId="1" shapeId="0" xr:uid="{FF152DE4-CDC9-4ABA-881D-9C20498BDD8A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J91" authorId="1" shapeId="0" xr:uid="{39C08C54-2539-4E4E-81DC-A372C6B7C2AF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RENRUI</author>
    <author>Ruiz Renguifo Renato</author>
    <author>RUIZ</author>
  </authors>
  <commentList>
    <comment ref="P11" authorId="0" shapeId="0" xr:uid="{F3D99693-9EED-44A7-8E59-17B81A72039E}">
      <text>
        <r>
          <rPr>
            <b/>
            <sz val="8"/>
            <color indexed="81"/>
            <rFont val="Tahoma"/>
            <family val="2"/>
          </rPr>
          <t>RENRUI:</t>
        </r>
        <r>
          <rPr>
            <sz val="8"/>
            <color indexed="81"/>
            <rFont val="Tahoma"/>
            <family val="2"/>
          </rPr>
          <t xml:space="preserve">
Formula:
                          1/12
j= m.((1+TEA) . -1)</t>
        </r>
      </text>
    </comment>
    <comment ref="J28" authorId="1" shapeId="0" xr:uid="{8E53BB1E-A53C-4A0F-8FC3-0DFD03E5B75C}">
      <text>
        <r>
          <rPr>
            <sz val="9"/>
            <color indexed="81"/>
            <rFont val="Tahoma"/>
            <family val="2"/>
          </rPr>
          <t xml:space="preserve">Valor de cuota a utilizar para el RCI
</t>
        </r>
      </text>
    </comment>
    <comment ref="C31" authorId="1" shapeId="0" xr:uid="{5F03A7D6-E0D8-440B-A8D8-04806EF5D2EA}">
      <text>
        <r>
          <rPr>
            <sz val="9"/>
            <color indexed="81"/>
            <rFont val="Tahoma"/>
            <family val="2"/>
          </rPr>
          <t xml:space="preserve">Se ha tenido que adaptar una formula para que considere el No pago
</t>
        </r>
      </text>
    </comment>
    <comment ref="J32" authorId="1" shapeId="0" xr:uid="{D7C91471-283D-4FD4-A7C5-6B7CC9718D0D}">
      <text>
        <r>
          <rPr>
            <sz val="9"/>
            <color indexed="81"/>
            <rFont val="Tahoma"/>
            <family val="2"/>
          </rPr>
          <t>Si el valor del importe de gracia sobrepasa el capital, debería mantenerse el artificio del 0.01</t>
        </r>
      </text>
    </comment>
    <comment ref="P32" authorId="2" shapeId="0" xr:uid="{DE17D81F-801A-45D1-A3EC-266AC9ED8AE8}">
      <text>
        <r>
          <rPr>
            <sz val="9"/>
            <color indexed="81"/>
            <rFont val="Tahoma"/>
            <family val="2"/>
          </rPr>
          <t xml:space="preserve">Se suma las celdas con valor en la columna "S" (Importe de Gracia Desgravemen)
</t>
        </r>
      </text>
    </comment>
    <comment ref="J37" authorId="1" shapeId="0" xr:uid="{E78522A8-D458-40B8-AF2E-426CF295D047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J41" authorId="1" shapeId="0" xr:uid="{D2CD68EA-435D-4ABB-B063-F900F71EFB1B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J47" authorId="1" shapeId="0" xr:uid="{3C64D96F-685B-4DF8-828F-9D650BE8E128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J51" authorId="1" shapeId="0" xr:uid="{450B23CC-5A14-424A-9730-3FDD5AB6E6CC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J57" authorId="1" shapeId="0" xr:uid="{A53890CD-1C3E-4826-8C6B-1415430F172E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J61" authorId="1" shapeId="0" xr:uid="{64361A00-72ED-4E1C-B869-1366ECE47194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J67" authorId="1" shapeId="0" xr:uid="{860F5DD4-45BA-4A69-8687-89DA0291821C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J71" authorId="1" shapeId="0" xr:uid="{D4929242-1A39-45E6-A9D6-47EF2E01AAE5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J77" authorId="1" shapeId="0" xr:uid="{D9C4D4F7-3F86-4950-8B1D-054EE7C6D4C6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J81" authorId="1" shapeId="0" xr:uid="{3DD721FD-B1D9-45D4-83AE-72ADC84964CC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J87" authorId="1" shapeId="0" xr:uid="{22D67DBA-C37E-4F46-9A91-FAA1217D6C7F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  <comment ref="J91" authorId="1" shapeId="0" xr:uid="{F562699C-6B38-440D-B69F-D7D5E3A42438}">
      <text>
        <r>
          <rPr>
            <sz val="9"/>
            <color indexed="81"/>
            <rFont val="Tahoma"/>
            <family val="2"/>
          </rPr>
          <t>Si el valor del seguro de gracia sobrepasa el capital, debería aplicarse el artificio del 0.01</t>
        </r>
      </text>
    </comment>
  </commentList>
</comments>
</file>

<file path=xl/sharedStrings.xml><?xml version="1.0" encoding="utf-8"?>
<sst xmlns="http://schemas.openxmlformats.org/spreadsheetml/2006/main" count="1272" uniqueCount="127">
  <si>
    <t>Capital</t>
  </si>
  <si>
    <t>Tasa</t>
  </si>
  <si>
    <t>Interes</t>
  </si>
  <si>
    <t>Principal</t>
  </si>
  <si>
    <t>Periodo Base</t>
  </si>
  <si>
    <t>Nro. Cuota</t>
  </si>
  <si>
    <t>Fecha Vcto.</t>
  </si>
  <si>
    <t>Nro. Dias</t>
  </si>
  <si>
    <t>Saldo Principal</t>
  </si>
  <si>
    <t>Base</t>
  </si>
  <si>
    <t>Mes de No Pago 1</t>
  </si>
  <si>
    <t>Mes de No Pago 2</t>
  </si>
  <si>
    <t>Factores utilizados en Meses de No Pago para cálculo del valor cuota</t>
  </si>
  <si>
    <t>N° de Cuota</t>
  </si>
  <si>
    <t>Fecha</t>
  </si>
  <si>
    <t>Mes</t>
  </si>
  <si>
    <t>Marca Cuota No Pago</t>
  </si>
  <si>
    <t>Factor (10)</t>
  </si>
  <si>
    <t>Acumulado</t>
  </si>
  <si>
    <t>Importe Solicitado</t>
  </si>
  <si>
    <t>Saldo de Capital</t>
  </si>
  <si>
    <t>Saldo de Interes</t>
  </si>
  <si>
    <t>Tasa Anual (TEA)</t>
  </si>
  <si>
    <t>Días de Gracia</t>
  </si>
  <si>
    <t>Fecha Final de Gracia</t>
  </si>
  <si>
    <t>Fecha de la 1° cuota</t>
  </si>
  <si>
    <t>Fecha final de vencimiento</t>
  </si>
  <si>
    <t>Frecuencia pago en días</t>
  </si>
  <si>
    <t>Días entre cuotas</t>
  </si>
  <si>
    <t>Saldo Interes +/- Interes Gracia</t>
  </si>
  <si>
    <t>Valor de cuota por dias de gracia</t>
  </si>
  <si>
    <t>Valor de cuota por capital</t>
  </si>
  <si>
    <t>Cuota</t>
  </si>
  <si>
    <t>Seguro de Desgravamen (FPF)</t>
  </si>
  <si>
    <t>Ultimo saldo de Principal</t>
  </si>
  <si>
    <t>Numero de Dias</t>
  </si>
  <si>
    <t>Valor de Cuota Nivelada</t>
  </si>
  <si>
    <t>Factor Ajuste</t>
  </si>
  <si>
    <t>Exceso de Int + Gracia</t>
  </si>
  <si>
    <t>tea conv. A tem luego nominal anual</t>
  </si>
  <si>
    <t>tem convertida de manera nominal a los dias entre cuotas</t>
  </si>
  <si>
    <t>dias promedio entre cuotas</t>
  </si>
  <si>
    <t>Factor de cuota (ok)</t>
  </si>
  <si>
    <t>Ok</t>
  </si>
  <si>
    <t>Interes de Gracia</t>
  </si>
  <si>
    <t>Interes Total</t>
  </si>
  <si>
    <t>Mes Cuota Doble 1</t>
  </si>
  <si>
    <t>Mes Cuota Doble 2</t>
  </si>
  <si>
    <t>Suavización</t>
  </si>
  <si>
    <t xml:space="preserve">Exceso </t>
  </si>
  <si>
    <t>Nro. Cuota (De acuerdo a Plazo)</t>
  </si>
  <si>
    <t>Plazo y  Nro. Cuotas</t>
  </si>
  <si>
    <t xml:space="preserve"> </t>
  </si>
  <si>
    <t>Tasa de Seguro de Desgravamen</t>
  </si>
  <si>
    <t>Marca</t>
  </si>
  <si>
    <t>Fecha Desembolso</t>
  </si>
  <si>
    <t>Minicronograma de Gracia</t>
  </si>
  <si>
    <t>Dias Transcurridos Acumulados</t>
  </si>
  <si>
    <t>Factor Simple Actualizacion</t>
  </si>
  <si>
    <t>Cuota Gracia</t>
  </si>
  <si>
    <t>Saldo Deuda</t>
  </si>
  <si>
    <t>Importe de Gracia Desgravamen</t>
  </si>
  <si>
    <t>Seg. Desgravamen Total</t>
  </si>
  <si>
    <t>Validador</t>
  </si>
  <si>
    <t>TIR</t>
  </si>
  <si>
    <t>Equivalente</t>
  </si>
  <si>
    <t>Importe Desgravamen por No Pago</t>
  </si>
  <si>
    <t>TCEA</t>
  </si>
  <si>
    <t>Validador Cuota Doble</t>
  </si>
  <si>
    <t>Cuota Simple</t>
  </si>
  <si>
    <t>Factor</t>
  </si>
  <si>
    <t>Calce de Capital</t>
  </si>
  <si>
    <t>Suma Capital (K)</t>
  </si>
  <si>
    <t>&lt;- El valor tiene que ser cercano a cero.</t>
  </si>
  <si>
    <t>Cuota Doble</t>
  </si>
  <si>
    <t>Valor Cuota</t>
  </si>
  <si>
    <t>Simulador IBS (Original)</t>
  </si>
  <si>
    <t>Simulador Cambiando Cuota</t>
  </si>
  <si>
    <t>Desembolso</t>
  </si>
  <si>
    <t>Impacto Interes</t>
  </si>
  <si>
    <t>Suma de Cuota</t>
  </si>
  <si>
    <t>SIMULADOR DE CUOTAS - CRÉDITO CONVENIOS</t>
  </si>
  <si>
    <t>Tasa de Gracia</t>
  </si>
  <si>
    <t>Tasa de Seguro de Desgravámen</t>
  </si>
  <si>
    <t>Comisiones + Pago Casillero</t>
  </si>
  <si>
    <t>Tasa Equivalente</t>
  </si>
  <si>
    <t>Factor Aplicado</t>
  </si>
  <si>
    <t>Factor Aplicado para la cuota</t>
  </si>
  <si>
    <t>(+/- 30 días antes de la fecha 1° cuota)</t>
  </si>
  <si>
    <t xml:space="preserve">Interes de Gracia </t>
  </si>
  <si>
    <t>Comisión de Gracia Desgravamen (Primera Cuota)</t>
  </si>
  <si>
    <t>=REDONDEAR(SI(O(F16+ F17&gt; 0,F18 + F19&gt;0),REDONDEAR.MAS(O16/BUSCARV(F13,Calculos!$A$3:$G$99,7,FALSO),2),O16*$O$14),2)</t>
  </si>
  <si>
    <t>C/ Factor</t>
  </si>
  <si>
    <t>C/ Mini Cronograma</t>
  </si>
  <si>
    <t>Promedio</t>
  </si>
  <si>
    <t>Exceso Desgravamen</t>
  </si>
  <si>
    <t>Comisiones + Pago de Casillero</t>
  </si>
  <si>
    <t>Digite Factor de Ajuste Anterior mas El Actual</t>
  </si>
  <si>
    <t>Se actualiza en cada simulación (Validar que la celda K275 sea cero)</t>
  </si>
  <si>
    <t>=SI(O(MES(FECHA.MES($O$6,D32))=$F$16,MES(FECHA.MES($O$6,D32))=$F$17),SI(ABS($F$17-$F$16)=1,FECHA.MES($O$6,D32+2),FECHA.MES($O$6,D32+1)),FECHA.MES($O$6,D32))</t>
  </si>
  <si>
    <t>Comision Envio Informacion</t>
  </si>
  <si>
    <t>Seguro de Desgravamen</t>
  </si>
  <si>
    <t>Con Factor</t>
  </si>
  <si>
    <t>Con Minicronograma</t>
  </si>
  <si>
    <t>Se copia el valor de la celda P26 solo en  la primera corrida, siempre que sea mayor a cero</t>
  </si>
  <si>
    <t>Impacto Cuota</t>
  </si>
  <si>
    <t>Impacto Cuota Total</t>
  </si>
  <si>
    <t>=-1727.55373262017+4756.46892161516+-13096.0030749489+6623.75341315595+6623.75341315595+-13664.6232949772+6623.75341315595+6623.75341315595+-12099.0469751545+6623.75341315595+6623.75341315595+-16409.571252974+6623.75341315595+6623.75341315595+-4541.40525297992+6623.75341315595-12357.0929427365+6623.75341315595+6623.75341315595+-15699.0688667145+6623.75341315595+6623.75341315595+-6497.61880707829</t>
  </si>
  <si>
    <t/>
  </si>
  <si>
    <t>-460.279128302192</t>
  </si>
  <si>
    <t>Factor Ajuste 2</t>
  </si>
  <si>
    <t>Plazo y  Nro. Cuotas (Aplicar Si hay Mes No Pago)</t>
  </si>
  <si>
    <t>Conteo No Pagos Acum</t>
  </si>
  <si>
    <t>Fecha de desembolso</t>
  </si>
  <si>
    <t>Primera fecha de pago</t>
  </si>
  <si>
    <t>Periodo</t>
  </si>
  <si>
    <t>Saldo</t>
  </si>
  <si>
    <t>Portes</t>
  </si>
  <si>
    <t>Seguros</t>
  </si>
  <si>
    <t>Simulador Creditos por Convenio</t>
  </si>
  <si>
    <t>Monto solicitado:</t>
  </si>
  <si>
    <t>Periodo de gracia (días):</t>
  </si>
  <si>
    <t>TEA:</t>
  </si>
  <si>
    <t>Plazo:</t>
  </si>
  <si>
    <t>Portes:</t>
  </si>
  <si>
    <t>TCEA:</t>
  </si>
  <si>
    <t>Cuota: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</si>
</sst>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 * #,##0.00_ ;_ * \-#,##0.00_ ;_ * &quot;-&quot;??_ ;_ @_ "/>
    <numFmt numFmtId="165" formatCode="0.0000"/>
    <numFmt numFmtId="166" formatCode="0.00000"/>
    <numFmt numFmtId="167" formatCode="0.000000"/>
    <numFmt numFmtId="168" formatCode="0.000000000"/>
    <numFmt numFmtId="169" formatCode="0.00000000000000"/>
    <numFmt numFmtId="170" formatCode="&quot;S/.&quot;\ #,##0.00000;[Red]&quot;S/.&quot;\ \-#,##0.00000"/>
    <numFmt numFmtId="171" formatCode="_ * #,##0_ ;_ * \-#,##0_ ;_ * &quot;-&quot;??_ ;_ @_ "/>
    <numFmt numFmtId="172" formatCode="0.000%"/>
    <numFmt numFmtId="173" formatCode="0.0"/>
    <numFmt numFmtId="174" formatCode="_-* #,##0_-;\-* #,##0_-;_-* &quot;-&quot;??_-;_-@_-"/>
    <numFmt numFmtId="175" formatCode="0.0000%"/>
    <numFmt numFmtId="176" formatCode="0.00;;;@"/>
    <numFmt numFmtId="177" formatCode="_ * #,##0.0_ ;_ * \-#,##0.0_ ;_ * &quot;-&quot;??_ ;_ @_ "/>
    <numFmt numFmtId="178" formatCode="0.0%"/>
    <numFmt numFmtId="179" formatCode="_ * #,##0.0000_ ;_ * \-#,##0.0000_ ;_ * &quot;-&quot;??_ ;_ @_ "/>
    <numFmt numFmtId="180" formatCode="_-* #,##0.0000_-;\-* #,##0.0000_-;_-* &quot;-&quot;??_-;_-@_-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name val="Arial"/>
      <family val="2"/>
    </font>
    <font>
      <sz val="8"/>
      <color theme="0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16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0"/>
      <color rgb="FFFFDD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DD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rgb="FF002060"/>
      </left>
      <right/>
      <top style="dotted">
        <color rgb="FF002060"/>
      </top>
      <bottom/>
      <diagonal/>
    </border>
    <border>
      <left/>
      <right/>
      <top style="dotted">
        <color rgb="FF002060"/>
      </top>
      <bottom/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/>
      <diagonal/>
    </border>
    <border>
      <left style="dotted">
        <color rgb="FF002060"/>
      </left>
      <right/>
      <top/>
      <bottom/>
      <diagonal/>
    </border>
    <border>
      <left style="dotted">
        <color rgb="FF002060"/>
      </left>
      <right style="dotted">
        <color rgb="FF002060"/>
      </right>
      <top/>
      <bottom/>
      <diagonal/>
    </border>
    <border>
      <left style="dotted">
        <color rgb="FF002060"/>
      </left>
      <right/>
      <top/>
      <bottom style="dotted">
        <color rgb="FF002060"/>
      </bottom>
      <diagonal/>
    </border>
    <border>
      <left/>
      <right/>
      <top/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/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/>
      <right/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/>
      <top style="dotted">
        <color rgb="FF002060"/>
      </top>
      <bottom style="dotted">
        <color rgb="FF002060"/>
      </bottom>
      <diagonal/>
    </border>
    <border>
      <left/>
      <right style="dotted">
        <color rgb="FF002060"/>
      </right>
      <top/>
      <bottom/>
      <diagonal/>
    </border>
    <border>
      <left/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26">
    <xf numFmtId="0" fontId="0" fillId="0" borderId="0" xfId="0"/>
    <xf numFmtId="10" fontId="8" fillId="0" borderId="0" xfId="1" applyNumberFormat="1" applyFont="1" applyBorder="1"/>
    <xf numFmtId="0" fontId="2" fillId="2" borderId="0" xfId="4" applyFill="1"/>
    <xf numFmtId="0" fontId="6" fillId="0" borderId="0" xfId="4" applyFont="1"/>
    <xf numFmtId="0" fontId="7" fillId="0" borderId="0" xfId="4" applyFont="1"/>
    <xf numFmtId="0" fontId="8" fillId="0" borderId="0" xfId="4" applyFont="1"/>
    <xf numFmtId="0" fontId="9" fillId="0" borderId="0" xfId="4" applyFont="1"/>
    <xf numFmtId="14" fontId="8" fillId="0" borderId="0" xfId="4" applyNumberFormat="1" applyFont="1"/>
    <xf numFmtId="14" fontId="8" fillId="0" borderId="1" xfId="4" applyNumberFormat="1" applyFont="1" applyBorder="1"/>
    <xf numFmtId="0" fontId="7" fillId="0" borderId="0" xfId="4" quotePrefix="1" applyFont="1"/>
    <xf numFmtId="165" fontId="8" fillId="0" borderId="0" xfId="4" applyNumberFormat="1" applyFont="1"/>
    <xf numFmtId="166" fontId="8" fillId="0" borderId="0" xfId="4" applyNumberFormat="1" applyFont="1"/>
    <xf numFmtId="170" fontId="8" fillId="0" borderId="0" xfId="4" applyNumberFormat="1" applyFont="1"/>
    <xf numFmtId="2" fontId="7" fillId="0" borderId="0" xfId="4" applyNumberFormat="1" applyFont="1"/>
    <xf numFmtId="0" fontId="11" fillId="0" borderId="0" xfId="4" applyFont="1"/>
    <xf numFmtId="0" fontId="6" fillId="2" borderId="0" xfId="4" applyFont="1" applyFill="1"/>
    <xf numFmtId="0" fontId="8" fillId="2" borderId="0" xfId="4" applyFont="1" applyFill="1"/>
    <xf numFmtId="2" fontId="8" fillId="0" borderId="0" xfId="4" quotePrefix="1" applyNumberFormat="1" applyFont="1"/>
    <xf numFmtId="169" fontId="7" fillId="0" borderId="0" xfId="4" applyNumberFormat="1" applyFont="1"/>
    <xf numFmtId="165" fontId="6" fillId="0" borderId="0" xfId="4" applyNumberFormat="1" applyFont="1"/>
    <xf numFmtId="0" fontId="8" fillId="0" borderId="1" xfId="4" applyFont="1" applyBorder="1" applyAlignment="1">
      <alignment horizontal="center" vertical="center" wrapText="1"/>
    </xf>
    <xf numFmtId="2" fontId="6" fillId="0" borderId="1" xfId="4" applyNumberFormat="1" applyFont="1" applyBorder="1"/>
    <xf numFmtId="4" fontId="6" fillId="0" borderId="1" xfId="4" applyNumberFormat="1" applyFont="1" applyBorder="1"/>
    <xf numFmtId="0" fontId="8" fillId="7" borderId="1" xfId="4" applyFont="1" applyFill="1" applyBorder="1" applyAlignment="1">
      <alignment horizontal="center" vertical="center" wrapText="1"/>
    </xf>
    <xf numFmtId="0" fontId="14" fillId="0" borderId="0" xfId="4" applyFont="1" applyAlignment="1">
      <alignment horizontal="center"/>
    </xf>
    <xf numFmtId="1" fontId="6" fillId="0" borderId="1" xfId="4" applyNumberFormat="1" applyFont="1" applyBorder="1"/>
    <xf numFmtId="0" fontId="6" fillId="0" borderId="1" xfId="4" applyFont="1" applyBorder="1"/>
    <xf numFmtId="0" fontId="8" fillId="8" borderId="0" xfId="4" applyFont="1" applyFill="1"/>
    <xf numFmtId="0" fontId="9" fillId="8" borderId="0" xfId="4" applyFont="1" applyFill="1"/>
    <xf numFmtId="2" fontId="8" fillId="8" borderId="0" xfId="4" applyNumberFormat="1" applyFont="1" applyFill="1"/>
    <xf numFmtId="0" fontId="8" fillId="8" borderId="5" xfId="4" applyFont="1" applyFill="1" applyBorder="1"/>
    <xf numFmtId="0" fontId="8" fillId="8" borderId="6" xfId="4" applyFont="1" applyFill="1" applyBorder="1"/>
    <xf numFmtId="0" fontId="9" fillId="8" borderId="6" xfId="4" applyFont="1" applyFill="1" applyBorder="1"/>
    <xf numFmtId="0" fontId="8" fillId="8" borderId="8" xfId="4" applyFont="1" applyFill="1" applyBorder="1"/>
    <xf numFmtId="0" fontId="7" fillId="8" borderId="0" xfId="4" applyFont="1" applyFill="1"/>
    <xf numFmtId="2" fontId="8" fillId="8" borderId="8" xfId="4" applyNumberFormat="1" applyFont="1" applyFill="1" applyBorder="1"/>
    <xf numFmtId="0" fontId="8" fillId="8" borderId="10" xfId="4" applyFont="1" applyFill="1" applyBorder="1"/>
    <xf numFmtId="0" fontId="8" fillId="8" borderId="11" xfId="4" applyFont="1" applyFill="1" applyBorder="1"/>
    <xf numFmtId="0" fontId="9" fillId="8" borderId="11" xfId="4" applyFont="1" applyFill="1" applyBorder="1"/>
    <xf numFmtId="4" fontId="11" fillId="8" borderId="7" xfId="4" applyNumberFormat="1" applyFont="1" applyFill="1" applyBorder="1"/>
    <xf numFmtId="2" fontId="8" fillId="8" borderId="5" xfId="4" applyNumberFormat="1" applyFont="1" applyFill="1" applyBorder="1"/>
    <xf numFmtId="2" fontId="8" fillId="8" borderId="6" xfId="4" applyNumberFormat="1" applyFont="1" applyFill="1" applyBorder="1"/>
    <xf numFmtId="0" fontId="6" fillId="8" borderId="6" xfId="4" applyFont="1" applyFill="1" applyBorder="1"/>
    <xf numFmtId="0" fontId="6" fillId="8" borderId="0" xfId="4" applyFont="1" applyFill="1"/>
    <xf numFmtId="0" fontId="7" fillId="8" borderId="11" xfId="4" applyFont="1" applyFill="1" applyBorder="1"/>
    <xf numFmtId="14" fontId="8" fillId="8" borderId="9" xfId="4" applyNumberFormat="1" applyFont="1" applyFill="1" applyBorder="1"/>
    <xf numFmtId="0" fontId="8" fillId="8" borderId="9" xfId="4" applyFont="1" applyFill="1" applyBorder="1"/>
    <xf numFmtId="167" fontId="8" fillId="8" borderId="9" xfId="4" applyNumberFormat="1" applyFont="1" applyFill="1" applyBorder="1"/>
    <xf numFmtId="166" fontId="8" fillId="8" borderId="9" xfId="4" applyNumberFormat="1" applyFont="1" applyFill="1" applyBorder="1"/>
    <xf numFmtId="165" fontId="8" fillId="8" borderId="9" xfId="4" applyNumberFormat="1" applyFont="1" applyFill="1" applyBorder="1"/>
    <xf numFmtId="2" fontId="8" fillId="8" borderId="9" xfId="4" applyNumberFormat="1" applyFont="1" applyFill="1" applyBorder="1"/>
    <xf numFmtId="0" fontId="6" fillId="8" borderId="11" xfId="4" applyFont="1" applyFill="1" applyBorder="1"/>
    <xf numFmtId="0" fontId="8" fillId="8" borderId="12" xfId="4" applyFont="1" applyFill="1" applyBorder="1"/>
    <xf numFmtId="2" fontId="10" fillId="2" borderId="0" xfId="4" applyNumberFormat="1" applyFont="1" applyFill="1" applyProtection="1">
      <protection locked="0"/>
    </xf>
    <xf numFmtId="2" fontId="6" fillId="2" borderId="0" xfId="4" applyNumberFormat="1" applyFont="1" applyFill="1"/>
    <xf numFmtId="0" fontId="8" fillId="8" borderId="15" xfId="4" applyFont="1" applyFill="1" applyBorder="1" applyAlignment="1">
      <alignment vertical="center"/>
    </xf>
    <xf numFmtId="0" fontId="6" fillId="8" borderId="14" xfId="4" applyFont="1" applyFill="1" applyBorder="1" applyAlignment="1">
      <alignment vertical="center"/>
    </xf>
    <xf numFmtId="2" fontId="8" fillId="8" borderId="13" xfId="4" applyNumberFormat="1" applyFont="1" applyFill="1" applyBorder="1" applyAlignment="1">
      <alignment vertical="center"/>
    </xf>
    <xf numFmtId="2" fontId="6" fillId="0" borderId="0" xfId="4" applyNumberFormat="1" applyFont="1"/>
    <xf numFmtId="0" fontId="8" fillId="8" borderId="13" xfId="4" applyFont="1" applyFill="1" applyBorder="1"/>
    <xf numFmtId="14" fontId="11" fillId="8" borderId="7" xfId="4" applyNumberFormat="1" applyFont="1" applyFill="1" applyBorder="1" applyProtection="1">
      <protection locked="0"/>
    </xf>
    <xf numFmtId="0" fontId="11" fillId="0" borderId="0" xfId="4" applyFont="1" applyAlignment="1">
      <alignment horizontal="left"/>
    </xf>
    <xf numFmtId="0" fontId="8" fillId="8" borderId="5" xfId="4" applyFont="1" applyFill="1" applyBorder="1" applyAlignment="1">
      <alignment vertical="center"/>
    </xf>
    <xf numFmtId="0" fontId="6" fillId="8" borderId="6" xfId="4" applyFont="1" applyFill="1" applyBorder="1" applyAlignment="1">
      <alignment vertical="center"/>
    </xf>
    <xf numFmtId="0" fontId="8" fillId="8" borderId="10" xfId="4" applyFont="1" applyFill="1" applyBorder="1" applyAlignment="1">
      <alignment vertical="center"/>
    </xf>
    <xf numFmtId="0" fontId="6" fillId="8" borderId="11" xfId="4" applyFont="1" applyFill="1" applyBorder="1" applyAlignment="1">
      <alignment vertical="center"/>
    </xf>
    <xf numFmtId="0" fontId="17" fillId="0" borderId="0" xfId="4" applyFont="1" applyAlignment="1">
      <alignment vertical="center"/>
    </xf>
    <xf numFmtId="0" fontId="2" fillId="0" borderId="0" xfId="4"/>
    <xf numFmtId="0" fontId="2" fillId="0" borderId="0" xfId="4" applyAlignment="1">
      <alignment horizontal="center"/>
    </xf>
    <xf numFmtId="0" fontId="3" fillId="0" borderId="0" xfId="4" applyFont="1" applyAlignment="1">
      <alignment horizontal="center"/>
    </xf>
    <xf numFmtId="0" fontId="3" fillId="7" borderId="0" xfId="4" applyFont="1" applyFill="1"/>
    <xf numFmtId="3" fontId="3" fillId="7" borderId="0" xfId="4" applyNumberFormat="1" applyFont="1" applyFill="1"/>
    <xf numFmtId="171" fontId="3" fillId="7" borderId="0" xfId="5" applyNumberFormat="1" applyFont="1" applyFill="1"/>
    <xf numFmtId="2" fontId="10" fillId="6" borderId="0" xfId="4" applyNumberFormat="1" applyFont="1" applyFill="1" applyAlignment="1">
      <alignment horizontal="center" vertical="center" wrapText="1"/>
    </xf>
    <xf numFmtId="4" fontId="10" fillId="8" borderId="7" xfId="4" applyNumberFormat="1" applyFont="1" applyFill="1" applyBorder="1"/>
    <xf numFmtId="14" fontId="10" fillId="8" borderId="7" xfId="4" applyNumberFormat="1" applyFont="1" applyFill="1" applyBorder="1" applyProtection="1">
      <protection locked="0"/>
    </xf>
    <xf numFmtId="14" fontId="10" fillId="0" borderId="0" xfId="4" applyNumberFormat="1" applyFont="1" applyProtection="1">
      <protection locked="0"/>
    </xf>
    <xf numFmtId="4" fontId="10" fillId="8" borderId="9" xfId="4" applyNumberFormat="1" applyFont="1" applyFill="1" applyBorder="1"/>
    <xf numFmtId="0" fontId="18" fillId="8" borderId="0" xfId="4" applyFont="1" applyFill="1"/>
    <xf numFmtId="2" fontId="10" fillId="8" borderId="9" xfId="1" applyNumberFormat="1" applyFont="1" applyFill="1" applyBorder="1"/>
    <xf numFmtId="0" fontId="8" fillId="9" borderId="15" xfId="4" applyFont="1" applyFill="1" applyBorder="1"/>
    <xf numFmtId="2" fontId="8" fillId="9" borderId="13" xfId="1" applyNumberFormat="1" applyFont="1" applyFill="1" applyBorder="1"/>
    <xf numFmtId="175" fontId="10" fillId="8" borderId="12" xfId="1" applyNumberFormat="1" applyFont="1" applyFill="1" applyBorder="1"/>
    <xf numFmtId="0" fontId="8" fillId="8" borderId="14" xfId="4" applyFont="1" applyFill="1" applyBorder="1"/>
    <xf numFmtId="0" fontId="9" fillId="8" borderId="14" xfId="4" applyFont="1" applyFill="1" applyBorder="1"/>
    <xf numFmtId="2" fontId="10" fillId="8" borderId="13" xfId="1" applyNumberFormat="1" applyFont="1" applyFill="1" applyBorder="1"/>
    <xf numFmtId="165" fontId="8" fillId="10" borderId="9" xfId="4" applyNumberFormat="1" applyFont="1" applyFill="1" applyBorder="1"/>
    <xf numFmtId="3" fontId="8" fillId="9" borderId="13" xfId="4" applyNumberFormat="1" applyFont="1" applyFill="1" applyBorder="1"/>
    <xf numFmtId="3" fontId="10" fillId="8" borderId="9" xfId="4" applyNumberFormat="1" applyFont="1" applyFill="1" applyBorder="1"/>
    <xf numFmtId="10" fontId="8" fillId="8" borderId="9" xfId="1" applyNumberFormat="1" applyFont="1" applyFill="1" applyBorder="1"/>
    <xf numFmtId="172" fontId="8" fillId="8" borderId="9" xfId="1" applyNumberFormat="1" applyFont="1" applyFill="1" applyBorder="1" applyProtection="1"/>
    <xf numFmtId="2" fontId="8" fillId="8" borderId="10" xfId="4" applyNumberFormat="1" applyFont="1" applyFill="1" applyBorder="1"/>
    <xf numFmtId="2" fontId="8" fillId="8" borderId="12" xfId="4" applyNumberFormat="1" applyFont="1" applyFill="1" applyBorder="1"/>
    <xf numFmtId="2" fontId="7" fillId="0" borderId="0" xfId="4" quotePrefix="1" applyNumberFormat="1" applyFont="1"/>
    <xf numFmtId="3" fontId="10" fillId="8" borderId="12" xfId="4" applyNumberFormat="1" applyFont="1" applyFill="1" applyBorder="1"/>
    <xf numFmtId="3" fontId="10" fillId="0" borderId="0" xfId="4" applyNumberFormat="1" applyFont="1"/>
    <xf numFmtId="0" fontId="19" fillId="0" borderId="0" xfId="4" quotePrefix="1" applyFont="1"/>
    <xf numFmtId="0" fontId="11" fillId="0" borderId="0" xfId="4" applyFont="1" applyAlignment="1">
      <alignment horizontal="center"/>
    </xf>
    <xf numFmtId="0" fontId="8" fillId="3" borderId="5" xfId="4" applyFont="1" applyFill="1" applyBorder="1"/>
    <xf numFmtId="0" fontId="6" fillId="3" borderId="6" xfId="4" applyFont="1" applyFill="1" applyBorder="1"/>
    <xf numFmtId="43" fontId="8" fillId="8" borderId="7" xfId="6" applyFont="1" applyFill="1" applyBorder="1"/>
    <xf numFmtId="0" fontId="8" fillId="8" borderId="13" xfId="4" applyFont="1" applyFill="1" applyBorder="1" applyAlignment="1">
      <alignment vertical="center"/>
    </xf>
    <xf numFmtId="0" fontId="6" fillId="8" borderId="13" xfId="4" applyFont="1" applyFill="1" applyBorder="1" applyAlignment="1">
      <alignment vertical="center"/>
    </xf>
    <xf numFmtId="174" fontId="8" fillId="8" borderId="9" xfId="6" applyNumberFormat="1" applyFont="1" applyFill="1" applyBorder="1"/>
    <xf numFmtId="43" fontId="8" fillId="8" borderId="9" xfId="6" applyFont="1" applyFill="1" applyBorder="1"/>
    <xf numFmtId="43" fontId="8" fillId="8" borderId="12" xfId="6" applyFont="1" applyFill="1" applyBorder="1"/>
    <xf numFmtId="4" fontId="8" fillId="9" borderId="13" xfId="4" applyNumberFormat="1" applyFont="1" applyFill="1" applyBorder="1"/>
    <xf numFmtId="0" fontId="8" fillId="3" borderId="8" xfId="4" applyFont="1" applyFill="1" applyBorder="1"/>
    <xf numFmtId="0" fontId="6" fillId="3" borderId="0" xfId="4" applyFont="1" applyFill="1"/>
    <xf numFmtId="4" fontId="8" fillId="8" borderId="13" xfId="4" applyNumberFormat="1" applyFont="1" applyFill="1" applyBorder="1"/>
    <xf numFmtId="0" fontId="6" fillId="8" borderId="8" xfId="4" applyFont="1" applyFill="1" applyBorder="1" applyAlignment="1">
      <alignment vertical="center"/>
    </xf>
    <xf numFmtId="0" fontId="6" fillId="8" borderId="0" xfId="4" applyFont="1" applyFill="1" applyAlignment="1">
      <alignment vertical="center"/>
    </xf>
    <xf numFmtId="0" fontId="6" fillId="8" borderId="16" xfId="4" applyFont="1" applyFill="1" applyBorder="1" applyAlignment="1">
      <alignment vertical="center"/>
    </xf>
    <xf numFmtId="43" fontId="8" fillId="8" borderId="7" xfId="6" applyFont="1" applyFill="1" applyBorder="1" applyAlignment="1">
      <alignment vertical="center"/>
    </xf>
    <xf numFmtId="174" fontId="16" fillId="3" borderId="12" xfId="6" applyNumberFormat="1" applyFont="1" applyFill="1" applyBorder="1" applyAlignment="1">
      <alignment vertical="center"/>
    </xf>
    <xf numFmtId="173" fontId="7" fillId="0" borderId="0" xfId="4" applyNumberFormat="1" applyFont="1"/>
    <xf numFmtId="0" fontId="15" fillId="0" borderId="0" xfId="4" quotePrefix="1" applyFont="1"/>
    <xf numFmtId="43" fontId="6" fillId="0" borderId="0" xfId="6" applyFont="1" applyFill="1" applyBorder="1"/>
    <xf numFmtId="0" fontId="17" fillId="12" borderId="1" xfId="4" applyFont="1" applyFill="1" applyBorder="1"/>
    <xf numFmtId="10" fontId="17" fillId="12" borderId="1" xfId="1" applyNumberFormat="1" applyFont="1" applyFill="1" applyBorder="1"/>
    <xf numFmtId="0" fontId="15" fillId="13" borderId="18" xfId="4" applyFont="1" applyFill="1" applyBorder="1" applyAlignment="1">
      <alignment horizontal="center" vertical="center" wrapText="1"/>
    </xf>
    <xf numFmtId="0" fontId="15" fillId="14" borderId="18" xfId="4" applyFont="1" applyFill="1" applyBorder="1" applyAlignment="1">
      <alignment horizontal="center" vertical="center" wrapText="1"/>
    </xf>
    <xf numFmtId="14" fontId="6" fillId="0" borderId="19" xfId="4" applyNumberFormat="1" applyFont="1" applyBorder="1" applyAlignment="1">
      <alignment wrapText="1"/>
    </xf>
    <xf numFmtId="4" fontId="6" fillId="0" borderId="19" xfId="4" applyNumberFormat="1" applyFont="1" applyBorder="1" applyAlignment="1">
      <alignment wrapText="1"/>
    </xf>
    <xf numFmtId="2" fontId="6" fillId="0" borderId="20" xfId="4" applyNumberFormat="1" applyFont="1" applyBorder="1"/>
    <xf numFmtId="43" fontId="6" fillId="0" borderId="21" xfId="6" applyFont="1" applyFill="1" applyBorder="1"/>
    <xf numFmtId="14" fontId="6" fillId="0" borderId="22" xfId="4" applyNumberFormat="1" applyFont="1" applyBorder="1"/>
    <xf numFmtId="2" fontId="6" fillId="0" borderId="22" xfId="4" applyNumberFormat="1" applyFont="1" applyBorder="1"/>
    <xf numFmtId="14" fontId="8" fillId="0" borderId="21" xfId="4" applyNumberFormat="1" applyFont="1" applyBorder="1" applyAlignment="1">
      <alignment horizontal="center"/>
    </xf>
    <xf numFmtId="14" fontId="8" fillId="0" borderId="21" xfId="4" applyNumberFormat="1" applyFont="1" applyBorder="1"/>
    <xf numFmtId="1" fontId="6" fillId="0" borderId="21" xfId="4" applyNumberFormat="1" applyFont="1" applyBorder="1"/>
    <xf numFmtId="0" fontId="6" fillId="0" borderId="21" xfId="4" applyFont="1" applyBorder="1"/>
    <xf numFmtId="2" fontId="6" fillId="0" borderId="21" xfId="4" applyNumberFormat="1" applyFont="1" applyBorder="1"/>
    <xf numFmtId="4" fontId="6" fillId="0" borderId="21" xfId="4" applyNumberFormat="1" applyFont="1" applyBorder="1"/>
    <xf numFmtId="0" fontId="7" fillId="0" borderId="0" xfId="4" applyFont="1" applyAlignment="1">
      <alignment horizontal="center"/>
    </xf>
    <xf numFmtId="43" fontId="6" fillId="0" borderId="0" xfId="6" applyFont="1"/>
    <xf numFmtId="3" fontId="7" fillId="0" borderId="0" xfId="4" applyNumberFormat="1" applyFont="1"/>
    <xf numFmtId="0" fontId="3" fillId="8" borderId="23" xfId="4" applyFont="1" applyFill="1" applyBorder="1" applyAlignment="1">
      <alignment horizontal="center" vertical="center" wrapText="1"/>
    </xf>
    <xf numFmtId="0" fontId="2" fillId="2" borderId="0" xfId="4" applyFill="1" applyAlignment="1">
      <alignment vertical="center" wrapText="1"/>
    </xf>
    <xf numFmtId="0" fontId="2" fillId="0" borderId="22" xfId="4" applyBorder="1"/>
    <xf numFmtId="0" fontId="2" fillId="3" borderId="22" xfId="4" applyFill="1" applyBorder="1"/>
    <xf numFmtId="14" fontId="2" fillId="0" borderId="22" xfId="4" applyNumberFormat="1" applyBorder="1"/>
    <xf numFmtId="168" fontId="2" fillId="0" borderId="22" xfId="4" applyNumberFormat="1" applyBorder="1"/>
    <xf numFmtId="0" fontId="8" fillId="0" borderId="1" xfId="4" applyFont="1" applyBorder="1"/>
    <xf numFmtId="4" fontId="10" fillId="0" borderId="1" xfId="4" applyNumberFormat="1" applyFont="1" applyBorder="1"/>
    <xf numFmtId="2" fontId="8" fillId="0" borderId="0" xfId="4" applyNumberFormat="1" applyFont="1"/>
    <xf numFmtId="14" fontId="10" fillId="0" borderId="1" xfId="4" applyNumberFormat="1" applyFont="1" applyBorder="1" applyProtection="1">
      <protection locked="0"/>
    </xf>
    <xf numFmtId="0" fontId="18" fillId="0" borderId="0" xfId="4" applyFont="1"/>
    <xf numFmtId="167" fontId="10" fillId="0" borderId="1" xfId="1" applyNumberFormat="1" applyFont="1" applyBorder="1"/>
    <xf numFmtId="2" fontId="10" fillId="0" borderId="1" xfId="1" applyNumberFormat="1" applyFont="1" applyBorder="1"/>
    <xf numFmtId="175" fontId="10" fillId="0" borderId="1" xfId="1" applyNumberFormat="1" applyFont="1" applyBorder="1"/>
    <xf numFmtId="167" fontId="8" fillId="3" borderId="0" xfId="4" applyNumberFormat="1" applyFont="1" applyFill="1"/>
    <xf numFmtId="3" fontId="10" fillId="0" borderId="1" xfId="4" applyNumberFormat="1" applyFont="1" applyBorder="1"/>
    <xf numFmtId="166" fontId="8" fillId="3" borderId="0" xfId="4" applyNumberFormat="1" applyFont="1" applyFill="1"/>
    <xf numFmtId="0" fontId="8" fillId="0" borderId="23" xfId="4" applyFont="1" applyBorder="1"/>
    <xf numFmtId="2" fontId="8" fillId="0" borderId="1" xfId="4" applyNumberFormat="1" applyFont="1" applyBorder="1"/>
    <xf numFmtId="10" fontId="8" fillId="0" borderId="0" xfId="1" applyNumberFormat="1" applyFont="1" applyFill="1" applyBorder="1"/>
    <xf numFmtId="165" fontId="8" fillId="0" borderId="1" xfId="4" applyNumberFormat="1" applyFont="1" applyBorder="1"/>
    <xf numFmtId="2" fontId="8" fillId="14" borderId="0" xfId="4" applyNumberFormat="1" applyFont="1" applyFill="1"/>
    <xf numFmtId="2" fontId="8" fillId="14" borderId="1" xfId="4" applyNumberFormat="1" applyFont="1" applyFill="1" applyBorder="1"/>
    <xf numFmtId="0" fontId="7" fillId="0" borderId="24" xfId="4" applyFont="1" applyBorder="1"/>
    <xf numFmtId="0" fontId="7" fillId="0" borderId="25" xfId="4" applyFont="1" applyBorder="1"/>
    <xf numFmtId="0" fontId="6" fillId="0" borderId="26" xfId="4" applyFont="1" applyBorder="1"/>
    <xf numFmtId="2" fontId="10" fillId="2" borderId="24" xfId="4" applyNumberFormat="1" applyFont="1" applyFill="1" applyBorder="1" applyProtection="1">
      <protection locked="0"/>
    </xf>
    <xf numFmtId="2" fontId="10" fillId="2" borderId="25" xfId="4" applyNumberFormat="1" applyFont="1" applyFill="1" applyBorder="1" applyProtection="1">
      <protection locked="0"/>
    </xf>
    <xf numFmtId="2" fontId="6" fillId="2" borderId="25" xfId="4" applyNumberFormat="1" applyFont="1" applyFill="1" applyBorder="1"/>
    <xf numFmtId="0" fontId="6" fillId="2" borderId="26" xfId="4" applyFont="1" applyFill="1" applyBorder="1"/>
    <xf numFmtId="0" fontId="8" fillId="0" borderId="27" xfId="4" applyFont="1" applyBorder="1"/>
    <xf numFmtId="174" fontId="8" fillId="0" borderId="1" xfId="6" applyNumberFormat="1" applyFont="1" applyFill="1" applyBorder="1"/>
    <xf numFmtId="174" fontId="6" fillId="0" borderId="28" xfId="6" applyNumberFormat="1" applyFont="1" applyFill="1" applyBorder="1"/>
    <xf numFmtId="0" fontId="6" fillId="2" borderId="27" xfId="4" applyFont="1" applyFill="1" applyBorder="1"/>
    <xf numFmtId="2" fontId="8" fillId="16" borderId="1" xfId="4" applyNumberFormat="1" applyFont="1" applyFill="1" applyBorder="1"/>
    <xf numFmtId="0" fontId="6" fillId="2" borderId="28" xfId="4" applyFont="1" applyFill="1" applyBorder="1"/>
    <xf numFmtId="174" fontId="8" fillId="0" borderId="1" xfId="6" applyNumberFormat="1" applyFont="1" applyBorder="1"/>
    <xf numFmtId="174" fontId="8" fillId="0" borderId="29" xfId="6" applyNumberFormat="1" applyFont="1" applyFill="1" applyBorder="1"/>
    <xf numFmtId="0" fontId="8" fillId="4" borderId="29" xfId="4" applyFont="1" applyFill="1" applyBorder="1"/>
    <xf numFmtId="0" fontId="6" fillId="2" borderId="30" xfId="4" applyFont="1" applyFill="1" applyBorder="1"/>
    <xf numFmtId="0" fontId="6" fillId="0" borderId="27" xfId="4" applyFont="1" applyBorder="1"/>
    <xf numFmtId="174" fontId="6" fillId="0" borderId="0" xfId="6" applyNumberFormat="1" applyFont="1" applyFill="1" applyBorder="1"/>
    <xf numFmtId="2" fontId="8" fillId="0" borderId="27" xfId="4" applyNumberFormat="1" applyFont="1" applyBorder="1" applyAlignment="1" applyProtection="1">
      <alignment wrapText="1"/>
      <protection locked="0"/>
    </xf>
    <xf numFmtId="2" fontId="8" fillId="0" borderId="0" xfId="4" applyNumberFormat="1" applyFont="1" applyProtection="1">
      <protection locked="0"/>
    </xf>
    <xf numFmtId="2" fontId="10" fillId="0" borderId="1" xfId="4" applyNumberFormat="1" applyFont="1" applyBorder="1"/>
    <xf numFmtId="2" fontId="8" fillId="0" borderId="28" xfId="4" applyNumberFormat="1" applyFont="1" applyBorder="1" applyProtection="1">
      <protection locked="0"/>
    </xf>
    <xf numFmtId="0" fontId="6" fillId="2" borderId="31" xfId="4" applyFont="1" applyFill="1" applyBorder="1"/>
    <xf numFmtId="0" fontId="6" fillId="2" borderId="32" xfId="4" applyFont="1" applyFill="1" applyBorder="1"/>
    <xf numFmtId="0" fontId="6" fillId="2" borderId="33" xfId="4" applyFont="1" applyFill="1" applyBorder="1"/>
    <xf numFmtId="0" fontId="6" fillId="0" borderId="31" xfId="4" applyFont="1" applyBorder="1"/>
    <xf numFmtId="0" fontId="6" fillId="0" borderId="32" xfId="4" applyFont="1" applyBorder="1"/>
    <xf numFmtId="0" fontId="6" fillId="0" borderId="33" xfId="4" applyFont="1" applyBorder="1"/>
    <xf numFmtId="167" fontId="6" fillId="0" borderId="1" xfId="4" applyNumberFormat="1" applyFont="1" applyBorder="1"/>
    <xf numFmtId="2" fontId="6" fillId="3" borderId="1" xfId="4" applyNumberFormat="1" applyFont="1" applyFill="1" applyBorder="1"/>
    <xf numFmtId="2" fontId="6" fillId="17" borderId="1" xfId="4" applyNumberFormat="1" applyFont="1" applyFill="1" applyBorder="1"/>
    <xf numFmtId="174" fontId="6" fillId="18" borderId="1" xfId="6" applyNumberFormat="1" applyFont="1" applyFill="1" applyBorder="1"/>
    <xf numFmtId="176" fontId="8" fillId="0" borderId="1" xfId="4" applyNumberFormat="1" applyFont="1" applyBorder="1"/>
    <xf numFmtId="43" fontId="6" fillId="0" borderId="1" xfId="6" applyFont="1" applyBorder="1"/>
    <xf numFmtId="174" fontId="6" fillId="0" borderId="1" xfId="6" applyNumberFormat="1" applyFont="1" applyFill="1" applyBorder="1"/>
    <xf numFmtId="14" fontId="8" fillId="19" borderId="1" xfId="4" applyNumberFormat="1" applyFont="1" applyFill="1" applyBorder="1"/>
    <xf numFmtId="1" fontId="6" fillId="19" borderId="1" xfId="4" applyNumberFormat="1" applyFont="1" applyFill="1" applyBorder="1"/>
    <xf numFmtId="0" fontId="6" fillId="19" borderId="1" xfId="4" applyFont="1" applyFill="1" applyBorder="1"/>
    <xf numFmtId="167" fontId="6" fillId="19" borderId="1" xfId="4" applyNumberFormat="1" applyFont="1" applyFill="1" applyBorder="1"/>
    <xf numFmtId="4" fontId="6" fillId="19" borderId="1" xfId="4" applyNumberFormat="1" applyFont="1" applyFill="1" applyBorder="1"/>
    <xf numFmtId="2" fontId="6" fillId="19" borderId="1" xfId="4" applyNumberFormat="1" applyFont="1" applyFill="1" applyBorder="1"/>
    <xf numFmtId="174" fontId="6" fillId="19" borderId="1" xfId="6" applyNumberFormat="1" applyFont="1" applyFill="1" applyBorder="1"/>
    <xf numFmtId="0" fontId="7" fillId="19" borderId="0" xfId="4" applyFont="1" applyFill="1"/>
    <xf numFmtId="43" fontId="6" fillId="19" borderId="1" xfId="6" applyFont="1" applyFill="1" applyBorder="1"/>
    <xf numFmtId="43" fontId="6" fillId="0" borderId="1" xfId="6" applyFont="1" applyFill="1" applyBorder="1"/>
    <xf numFmtId="4" fontId="7" fillId="0" borderId="0" xfId="4" applyNumberFormat="1" applyFont="1"/>
    <xf numFmtId="0" fontId="2" fillId="0" borderId="1" xfId="4" applyBorder="1"/>
    <xf numFmtId="0" fontId="2" fillId="3" borderId="1" xfId="4" applyFill="1" applyBorder="1"/>
    <xf numFmtId="14" fontId="2" fillId="0" borderId="1" xfId="4" applyNumberFormat="1" applyBorder="1"/>
    <xf numFmtId="168" fontId="2" fillId="0" borderId="1" xfId="4" applyNumberFormat="1" applyBorder="1"/>
    <xf numFmtId="0" fontId="2" fillId="19" borderId="1" xfId="4" applyFill="1" applyBorder="1"/>
    <xf numFmtId="14" fontId="2" fillId="19" borderId="1" xfId="4" applyNumberFormat="1" applyFill="1" applyBorder="1"/>
    <xf numFmtId="168" fontId="2" fillId="19" borderId="1" xfId="4" applyNumberFormat="1" applyFill="1" applyBorder="1"/>
    <xf numFmtId="0" fontId="2" fillId="19" borderId="0" xfId="4" applyFill="1"/>
    <xf numFmtId="0" fontId="2" fillId="0" borderId="3" xfId="4" applyBorder="1"/>
    <xf numFmtId="14" fontId="2" fillId="0" borderId="3" xfId="4" applyNumberFormat="1" applyBorder="1"/>
    <xf numFmtId="168" fontId="2" fillId="0" borderId="3" xfId="4" applyNumberFormat="1" applyBorder="1"/>
    <xf numFmtId="4" fontId="11" fillId="8" borderId="0" xfId="4" applyNumberFormat="1" applyFont="1" applyFill="1"/>
    <xf numFmtId="3" fontId="2" fillId="0" borderId="0" xfId="4" applyNumberFormat="1"/>
    <xf numFmtId="171" fontId="0" fillId="0" borderId="0" xfId="5" applyNumberFormat="1" applyFont="1" applyFill="1"/>
    <xf numFmtId="164" fontId="2" fillId="0" borderId="0" xfId="4" applyNumberFormat="1"/>
    <xf numFmtId="164" fontId="6" fillId="3" borderId="1" xfId="2" applyFont="1" applyFill="1" applyBorder="1"/>
    <xf numFmtId="164" fontId="0" fillId="0" borderId="0" xfId="5" applyFont="1" applyFill="1"/>
    <xf numFmtId="164" fontId="3" fillId="7" borderId="0" xfId="5" applyFont="1" applyFill="1"/>
    <xf numFmtId="3" fontId="8" fillId="0" borderId="1" xfId="4" applyNumberFormat="1" applyFont="1" applyBorder="1"/>
    <xf numFmtId="0" fontId="14" fillId="20" borderId="0" xfId="4" applyFont="1" applyFill="1" applyAlignment="1">
      <alignment horizontal="center"/>
    </xf>
    <xf numFmtId="14" fontId="8" fillId="20" borderId="1" xfId="4" applyNumberFormat="1" applyFont="1" applyFill="1" applyBorder="1"/>
    <xf numFmtId="1" fontId="6" fillId="20" borderId="1" xfId="4" applyNumberFormat="1" applyFont="1" applyFill="1" applyBorder="1"/>
    <xf numFmtId="0" fontId="6" fillId="20" borderId="1" xfId="4" applyFont="1" applyFill="1" applyBorder="1"/>
    <xf numFmtId="167" fontId="6" fillId="20" borderId="1" xfId="4" applyNumberFormat="1" applyFont="1" applyFill="1" applyBorder="1"/>
    <xf numFmtId="4" fontId="6" fillId="20" borderId="1" xfId="4" applyNumberFormat="1" applyFont="1" applyFill="1" applyBorder="1"/>
    <xf numFmtId="2" fontId="6" fillId="20" borderId="1" xfId="4" applyNumberFormat="1" applyFont="1" applyFill="1" applyBorder="1"/>
    <xf numFmtId="174" fontId="6" fillId="20" borderId="1" xfId="6" applyNumberFormat="1" applyFont="1" applyFill="1" applyBorder="1"/>
    <xf numFmtId="176" fontId="8" fillId="20" borderId="1" xfId="4" applyNumberFormat="1" applyFont="1" applyFill="1" applyBorder="1"/>
    <xf numFmtId="171" fontId="22" fillId="20" borderId="0" xfId="2" applyNumberFormat="1" applyFont="1" applyFill="1" applyAlignment="1">
      <alignment horizontal="center"/>
    </xf>
    <xf numFmtId="178" fontId="7" fillId="0" borderId="0" xfId="1" applyNumberFormat="1" applyFont="1"/>
    <xf numFmtId="171" fontId="7" fillId="0" borderId="0" xfId="2" applyNumberFormat="1" applyFont="1"/>
    <xf numFmtId="171" fontId="7" fillId="0" borderId="0" xfId="2" applyNumberFormat="1" applyFont="1" applyFill="1"/>
    <xf numFmtId="171" fontId="7" fillId="19" borderId="0" xfId="2" applyNumberFormat="1" applyFont="1" applyFill="1"/>
    <xf numFmtId="174" fontId="8" fillId="21" borderId="1" xfId="6" applyNumberFormat="1" applyFont="1" applyFill="1" applyBorder="1"/>
    <xf numFmtId="164" fontId="22" fillId="20" borderId="0" xfId="2" applyFont="1" applyFill="1" applyAlignment="1">
      <alignment horizontal="center"/>
    </xf>
    <xf numFmtId="177" fontId="6" fillId="18" borderId="1" xfId="2" applyNumberFormat="1" applyFont="1" applyFill="1" applyBorder="1"/>
    <xf numFmtId="177" fontId="6" fillId="0" borderId="1" xfId="2" applyNumberFormat="1" applyFont="1" applyFill="1" applyBorder="1"/>
    <xf numFmtId="177" fontId="6" fillId="19" borderId="1" xfId="2" applyNumberFormat="1" applyFont="1" applyFill="1" applyBorder="1"/>
    <xf numFmtId="177" fontId="6" fillId="20" borderId="1" xfId="2" applyNumberFormat="1" applyFont="1" applyFill="1" applyBorder="1"/>
    <xf numFmtId="164" fontId="6" fillId="0" borderId="0" xfId="2" applyFont="1" applyFill="1" applyBorder="1"/>
    <xf numFmtId="166" fontId="7" fillId="0" borderId="0" xfId="4" applyNumberFormat="1" applyFont="1"/>
    <xf numFmtId="0" fontId="8" fillId="20" borderId="27" xfId="4" applyFont="1" applyFill="1" applyBorder="1"/>
    <xf numFmtId="0" fontId="8" fillId="20" borderId="0" xfId="4" applyFont="1" applyFill="1"/>
    <xf numFmtId="43" fontId="8" fillId="20" borderId="0" xfId="6" applyFont="1" applyFill="1" applyBorder="1"/>
    <xf numFmtId="171" fontId="7" fillId="0" borderId="0" xfId="4" applyNumberFormat="1" applyFont="1"/>
    <xf numFmtId="0" fontId="3" fillId="0" borderId="2" xfId="4" applyFont="1" applyBorder="1" applyAlignment="1">
      <alignment horizontal="center" vertical="center"/>
    </xf>
    <xf numFmtId="0" fontId="2" fillId="2" borderId="0" xfId="4" applyFill="1" applyAlignment="1">
      <alignment vertical="center"/>
    </xf>
    <xf numFmtId="3" fontId="23" fillId="8" borderId="9" xfId="4" applyNumberFormat="1" applyFont="1" applyFill="1" applyBorder="1"/>
    <xf numFmtId="3" fontId="23" fillId="0" borderId="1" xfId="4" applyNumberFormat="1" applyFont="1" applyBorder="1"/>
    <xf numFmtId="4" fontId="23" fillId="8" borderId="7" xfId="4" applyNumberFormat="1" applyFont="1" applyFill="1" applyBorder="1"/>
    <xf numFmtId="0" fontId="24" fillId="0" borderId="0" xfId="4" applyFont="1" applyAlignment="1">
      <alignment horizontal="center"/>
    </xf>
    <xf numFmtId="14" fontId="11" fillId="0" borderId="21" xfId="4" applyNumberFormat="1" applyFont="1" applyBorder="1" applyAlignment="1">
      <alignment horizontal="center"/>
    </xf>
    <xf numFmtId="14" fontId="11" fillId="0" borderId="21" xfId="4" applyNumberFormat="1" applyFont="1" applyBorder="1"/>
    <xf numFmtId="1" fontId="25" fillId="0" borderId="21" xfId="4" applyNumberFormat="1" applyFont="1" applyBorder="1"/>
    <xf numFmtId="0" fontId="25" fillId="0" borderId="21" xfId="4" applyFont="1" applyBorder="1"/>
    <xf numFmtId="2" fontId="25" fillId="0" borderId="21" xfId="4" applyNumberFormat="1" applyFont="1" applyBorder="1"/>
    <xf numFmtId="4" fontId="25" fillId="0" borderId="21" xfId="4" applyNumberFormat="1" applyFont="1" applyBorder="1"/>
    <xf numFmtId="2" fontId="25" fillId="0" borderId="20" xfId="4" applyNumberFormat="1" applyFont="1" applyBorder="1"/>
    <xf numFmtId="43" fontId="25" fillId="0" borderId="21" xfId="6" applyFont="1" applyFill="1" applyBorder="1"/>
    <xf numFmtId="0" fontId="24" fillId="0" borderId="0" xfId="4" applyFont="1"/>
    <xf numFmtId="14" fontId="25" fillId="0" borderId="22" xfId="4" applyNumberFormat="1" applyFont="1" applyBorder="1"/>
    <xf numFmtId="2" fontId="25" fillId="0" borderId="22" xfId="4" applyNumberFormat="1" applyFont="1" applyBorder="1"/>
    <xf numFmtId="14" fontId="11" fillId="0" borderId="20" xfId="4" applyNumberFormat="1" applyFont="1" applyBorder="1" applyAlignment="1">
      <alignment horizontal="center"/>
    </xf>
    <xf numFmtId="14" fontId="11" fillId="0" borderId="20" xfId="4" applyNumberFormat="1" applyFont="1" applyBorder="1"/>
    <xf numFmtId="1" fontId="25" fillId="0" borderId="20" xfId="4" applyNumberFormat="1" applyFont="1" applyBorder="1"/>
    <xf numFmtId="0" fontId="25" fillId="0" borderId="20" xfId="4" applyFont="1" applyBorder="1"/>
    <xf numFmtId="4" fontId="25" fillId="0" borderId="20" xfId="4" applyNumberFormat="1" applyFont="1" applyBorder="1"/>
    <xf numFmtId="43" fontId="25" fillId="0" borderId="20" xfId="6" applyFont="1" applyFill="1" applyBorder="1"/>
    <xf numFmtId="174" fontId="6" fillId="0" borderId="0" xfId="4" applyNumberFormat="1" applyFont="1"/>
    <xf numFmtId="2" fontId="25" fillId="4" borderId="20" xfId="4" applyNumberFormat="1" applyFont="1" applyFill="1" applyBorder="1"/>
    <xf numFmtId="43" fontId="25" fillId="4" borderId="21" xfId="6" applyFont="1" applyFill="1" applyBorder="1"/>
    <xf numFmtId="43" fontId="25" fillId="0" borderId="0" xfId="4" applyNumberFormat="1" applyFont="1"/>
    <xf numFmtId="43" fontId="7" fillId="0" borderId="0" xfId="4" applyNumberFormat="1" applyFont="1"/>
    <xf numFmtId="2" fontId="25" fillId="22" borderId="20" xfId="4" applyNumberFormat="1" applyFont="1" applyFill="1" applyBorder="1"/>
    <xf numFmtId="0" fontId="2" fillId="12" borderId="22" xfId="4" applyFill="1" applyBorder="1"/>
    <xf numFmtId="14" fontId="2" fillId="12" borderId="22" xfId="4" applyNumberFormat="1" applyFill="1" applyBorder="1"/>
    <xf numFmtId="168" fontId="2" fillId="12" borderId="22" xfId="4" applyNumberFormat="1" applyFill="1" applyBorder="1"/>
    <xf numFmtId="0" fontId="2" fillId="12" borderId="0" xfId="4" applyFill="1"/>
    <xf numFmtId="14" fontId="8" fillId="12" borderId="21" xfId="4" applyNumberFormat="1" applyFont="1" applyFill="1" applyBorder="1" applyAlignment="1">
      <alignment horizontal="center"/>
    </xf>
    <xf numFmtId="14" fontId="8" fillId="12" borderId="9" xfId="4" applyNumberFormat="1" applyFont="1" applyFill="1" applyBorder="1"/>
    <xf numFmtId="14" fontId="6" fillId="2" borderId="0" xfId="4" applyNumberFormat="1" applyFont="1" applyFill="1"/>
    <xf numFmtId="172" fontId="11" fillId="8" borderId="7" xfId="1" applyNumberFormat="1" applyFont="1" applyFill="1" applyBorder="1"/>
    <xf numFmtId="179" fontId="8" fillId="20" borderId="0" xfId="2" applyNumberFormat="1" applyFont="1" applyFill="1" applyBorder="1"/>
    <xf numFmtId="180" fontId="8" fillId="3" borderId="9" xfId="6" applyNumberFormat="1" applyFont="1" applyFill="1" applyBorder="1"/>
    <xf numFmtId="164" fontId="8" fillId="3" borderId="7" xfId="2" applyFont="1" applyFill="1" applyBorder="1"/>
    <xf numFmtId="43" fontId="25" fillId="20" borderId="20" xfId="6" applyFont="1" applyFill="1" applyBorder="1"/>
    <xf numFmtId="43" fontId="6" fillId="20" borderId="21" xfId="6" applyFont="1" applyFill="1" applyBorder="1"/>
    <xf numFmtId="165" fontId="10" fillId="3" borderId="13" xfId="4" applyNumberFormat="1" applyFont="1" applyFill="1" applyBorder="1" applyAlignment="1">
      <alignment horizontal="center" vertical="center"/>
    </xf>
    <xf numFmtId="1" fontId="7" fillId="0" borderId="0" xfId="4" applyNumberFormat="1" applyFont="1"/>
    <xf numFmtId="14" fontId="7" fillId="0" borderId="0" xfId="4" applyNumberFormat="1" applyFont="1"/>
    <xf numFmtId="171" fontId="6" fillId="2" borderId="0" xfId="2" applyNumberFormat="1" applyFont="1" applyFill="1" applyBorder="1"/>
    <xf numFmtId="165" fontId="6" fillId="12" borderId="0" xfId="4" applyNumberFormat="1" applyFont="1" applyFill="1"/>
    <xf numFmtId="0" fontId="6" fillId="23" borderId="0" xfId="0" applyFont="1" applyFill="1"/>
    <xf numFmtId="0" fontId="6" fillId="0" borderId="0" xfId="0" applyFont="1"/>
    <xf numFmtId="0" fontId="26" fillId="0" borderId="0" xfId="0" applyFont="1" applyAlignment="1">
      <alignment horizontal="center" vertical="center"/>
    </xf>
    <xf numFmtId="0" fontId="6" fillId="0" borderId="30" xfId="0" applyFont="1" applyBorder="1"/>
    <xf numFmtId="0" fontId="27" fillId="15" borderId="1" xfId="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43" fontId="6" fillId="0" borderId="1" xfId="0" applyNumberFormat="1" applyFont="1" applyBorder="1" applyAlignment="1">
      <alignment horizontal="center" vertical="center"/>
    </xf>
    <xf numFmtId="0" fontId="29" fillId="0" borderId="34" xfId="0" applyFont="1" applyBorder="1"/>
    <xf numFmtId="0" fontId="29" fillId="0" borderId="0" xfId="0" applyFont="1"/>
    <xf numFmtId="0" fontId="6" fillId="0" borderId="35" xfId="0" applyFont="1" applyBorder="1" applyProtection="1">
      <protection locked="0"/>
    </xf>
    <xf numFmtId="14" fontId="6" fillId="0" borderId="35" xfId="0" applyNumberFormat="1" applyFont="1" applyBorder="1" applyProtection="1">
      <protection locked="0"/>
    </xf>
    <xf numFmtId="10" fontId="6" fillId="0" borderId="35" xfId="0" applyNumberFormat="1" applyFont="1" applyBorder="1" applyProtection="1">
      <protection locked="0"/>
    </xf>
    <xf numFmtId="43" fontId="6" fillId="0" borderId="35" xfId="0" applyNumberFormat="1" applyFont="1" applyBorder="1" applyProtection="1">
      <protection locked="0"/>
    </xf>
    <xf numFmtId="164" fontId="6" fillId="0" borderId="35" xfId="2" applyFont="1" applyBorder="1" applyProtection="1">
      <protection locked="0"/>
    </xf>
    <xf numFmtId="0" fontId="28" fillId="0" borderId="0" xfId="0" applyFont="1" applyAlignment="1">
      <alignment horizontal="center" vertical="center"/>
    </xf>
    <xf numFmtId="0" fontId="12" fillId="5" borderId="0" xfId="4" applyFont="1" applyFill="1" applyAlignment="1">
      <alignment horizontal="center" vertical="center" wrapText="1"/>
    </xf>
    <xf numFmtId="0" fontId="15" fillId="11" borderId="0" xfId="4" applyFont="1" applyFill="1" applyAlignment="1">
      <alignment horizontal="center" vertical="center" wrapText="1"/>
    </xf>
    <xf numFmtId="0" fontId="15" fillId="11" borderId="11" xfId="4" applyFont="1" applyFill="1" applyBorder="1" applyAlignment="1">
      <alignment horizontal="center" vertical="center" wrapText="1"/>
    </xf>
    <xf numFmtId="2" fontId="8" fillId="8" borderId="15" xfId="4" applyNumberFormat="1" applyFont="1" applyFill="1" applyBorder="1" applyAlignment="1" applyProtection="1">
      <alignment horizontal="left" vertical="center" wrapText="1"/>
      <protection locked="0"/>
    </xf>
    <xf numFmtId="2" fontId="8" fillId="8" borderId="17" xfId="4" applyNumberFormat="1" applyFont="1" applyFill="1" applyBorder="1" applyAlignment="1" applyProtection="1">
      <alignment horizontal="left" vertical="center" wrapText="1"/>
      <protection locked="0"/>
    </xf>
    <xf numFmtId="0" fontId="21" fillId="15" borderId="4" xfId="4" applyFont="1" applyFill="1" applyBorder="1" applyAlignment="1">
      <alignment horizontal="center"/>
    </xf>
    <xf numFmtId="0" fontId="21" fillId="15" borderId="0" xfId="4" applyFont="1" applyFill="1" applyAlignment="1">
      <alignment horizontal="center"/>
    </xf>
    <xf numFmtId="0" fontId="3" fillId="0" borderId="4" xfId="4" applyFont="1" applyBorder="1" applyAlignment="1">
      <alignment horizontal="center"/>
    </xf>
    <xf numFmtId="0" fontId="3" fillId="0" borderId="0" xfId="4" applyFont="1" applyAlignment="1">
      <alignment horizontal="center"/>
    </xf>
    <xf numFmtId="0" fontId="2" fillId="0" borderId="0" xfId="4"/>
  </cellXfs>
  <cellStyles count="7">
    <cellStyle name="Millares" xfId="2" builtinId="3"/>
    <cellStyle name="Millares 2" xfId="5" xr:uid="{186F956A-B912-43A9-9351-BAD96402F6A2}"/>
    <cellStyle name="Millares 3" xfId="6" xr:uid="{979A38C7-FBFE-4AA2-818C-27FCEA2A48EA}"/>
    <cellStyle name="Normal" xfId="0" builtinId="0"/>
    <cellStyle name="Normal 2" xfId="3" xr:uid="{00000000-0005-0000-0000-000002000000}"/>
    <cellStyle name="Normal 3" xfId="4" xr:uid="{6B2C05E8-8C08-4550-886D-8B5C69639C4F}"/>
    <cellStyle name="Porcentaje" xfId="1" builtinId="5"/>
  </cellStyles>
  <dxfs count="4">
    <dxf>
      <fill>
        <patternFill>
          <bgColor theme="3" tint="0.39994506668294322"/>
        </patternFill>
      </fill>
    </dxf>
    <dxf>
      <fill>
        <patternFill>
          <bgColor rgb="FF00B0F0"/>
        </patternFill>
      </fill>
    </dxf>
    <dxf>
      <fill>
        <patternFill>
          <bgColor theme="3" tint="0.39994506668294322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colors>
    <mruColors>
      <color rgb="FF000000"/>
      <color rgb="FFFFDD00"/>
      <color rgb="FF00FFFF"/>
      <color rgb="FF00FF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microsoft.com/office/2017/10/relationships/person" Target="persons/person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2924912"/>
        <c:axId val="1732925392"/>
      </c:barChart>
      <c:catAx>
        <c:axId val="17329249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32925392"/>
        <c:crosses val="autoZero"/>
        <c:auto val="1"/>
        <c:lblAlgn val="ctr"/>
        <c:lblOffset val="100"/>
        <c:noMultiLvlLbl val="0"/>
      </c:catAx>
      <c:valAx>
        <c:axId val="173292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3292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CA5B77E-8437-4B2F-A6EA-B5E23EEB8D0A}">
  <sheetPr/>
  <sheetViews>
    <sheetView zoomScale="5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617098" cy="7585982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3B5B52-BF7F-F8CE-8635-C203E549DC0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9</xdr:row>
      <xdr:rowOff>0</xdr:rowOff>
    </xdr:from>
    <xdr:to>
      <xdr:col>8</xdr:col>
      <xdr:colOff>701040</xdr:colOff>
      <xdr:row>11</xdr:row>
      <xdr:rowOff>144780</xdr:rowOff>
    </xdr:to>
    <xdr:sp macro="[0]!calculo_b0" textlink="">
      <xdr:nvSpPr>
        <xdr:cNvPr id="3" name="Rectángulo 2">
          <a:extLst>
            <a:ext uri="{FF2B5EF4-FFF2-40B4-BE49-F238E27FC236}">
              <a16:creationId xmlns:a16="http://schemas.microsoft.com/office/drawing/2014/main" id="{97D97965-06D8-4338-9298-8B30096663D7}"/>
            </a:ext>
          </a:extLst>
        </xdr:cNvPr>
        <xdr:cNvSpPr/>
      </xdr:nvSpPr>
      <xdr:spPr>
        <a:xfrm>
          <a:off x="4686300" y="1508760"/>
          <a:ext cx="1074420" cy="480060"/>
        </a:xfrm>
        <a:prstGeom prst="rect">
          <a:avLst/>
        </a:prstGeom>
        <a:solidFill>
          <a:srgbClr val="002060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100">
              <a:solidFill>
                <a:srgbClr val="FFDD00"/>
              </a:solidFill>
            </a:rPr>
            <a:t>Calcular</a:t>
          </a:r>
        </a:p>
      </xdr:txBody>
    </xdr:sp>
    <xdr:clientData/>
  </xdr:twoCellAnchor>
  <xdr:twoCellAnchor editAs="oneCell">
    <xdr:from>
      <xdr:col>1</xdr:col>
      <xdr:colOff>7620</xdr:colOff>
      <xdr:row>1</xdr:row>
      <xdr:rowOff>99060</xdr:rowOff>
    </xdr:from>
    <xdr:to>
      <xdr:col>3</xdr:col>
      <xdr:colOff>152400</xdr:colOff>
      <xdr:row>4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551621E-27B3-4D7A-8293-3AC1A9C2B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0" y="266700"/>
          <a:ext cx="1089660" cy="4267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0</xdr:row>
      <xdr:rowOff>145674</xdr:rowOff>
    </xdr:from>
    <xdr:to>
      <xdr:col>3</xdr:col>
      <xdr:colOff>380580</xdr:colOff>
      <xdr:row>2</xdr:row>
      <xdr:rowOff>30032</xdr:rowOff>
    </xdr:to>
    <xdr:pic>
      <xdr:nvPicPr>
        <xdr:cNvPr id="2" name="irc_mi" descr="Imagen relacionada">
          <a:extLst>
            <a:ext uri="{FF2B5EF4-FFF2-40B4-BE49-F238E27FC236}">
              <a16:creationId xmlns:a16="http://schemas.microsoft.com/office/drawing/2014/main" id="{72FEE99B-4569-4D02-B608-704653DA43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399" b="39431"/>
        <a:stretch/>
      </xdr:blipFill>
      <xdr:spPr bwMode="auto">
        <a:xfrm>
          <a:off x="342901" y="145674"/>
          <a:ext cx="1437853" cy="314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0</xdr:row>
      <xdr:rowOff>145674</xdr:rowOff>
    </xdr:from>
    <xdr:to>
      <xdr:col>3</xdr:col>
      <xdr:colOff>606798</xdr:colOff>
      <xdr:row>2</xdr:row>
      <xdr:rowOff>22412</xdr:rowOff>
    </xdr:to>
    <xdr:pic>
      <xdr:nvPicPr>
        <xdr:cNvPr id="2" name="irc_mi" descr="Imagen relacionada">
          <a:extLst>
            <a:ext uri="{FF2B5EF4-FFF2-40B4-BE49-F238E27FC236}">
              <a16:creationId xmlns:a16="http://schemas.microsoft.com/office/drawing/2014/main" id="{FF06B4CE-4AC5-49C9-81A7-2C656603E0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399" b="39431"/>
        <a:stretch/>
      </xdr:blipFill>
      <xdr:spPr bwMode="auto">
        <a:xfrm>
          <a:off x="304801" y="145674"/>
          <a:ext cx="1435472" cy="314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0</xdr:row>
      <xdr:rowOff>145674</xdr:rowOff>
    </xdr:from>
    <xdr:to>
      <xdr:col>3</xdr:col>
      <xdr:colOff>606798</xdr:colOff>
      <xdr:row>2</xdr:row>
      <xdr:rowOff>22412</xdr:rowOff>
    </xdr:to>
    <xdr:pic>
      <xdr:nvPicPr>
        <xdr:cNvPr id="2" name="irc_mi" descr="Imagen relacionada">
          <a:extLst>
            <a:ext uri="{FF2B5EF4-FFF2-40B4-BE49-F238E27FC236}">
              <a16:creationId xmlns:a16="http://schemas.microsoft.com/office/drawing/2014/main" id="{2201A4EF-1FDD-4D06-B469-11E4C48269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399" b="39431"/>
        <a:stretch/>
      </xdr:blipFill>
      <xdr:spPr bwMode="auto">
        <a:xfrm>
          <a:off x="312421" y="130434"/>
          <a:ext cx="1460237" cy="311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Osmer Blas" id="{797E1685-ED1A-459B-B01B-995B09A945B8}" userId="S::osmer.blas@pichincha.pe::6e8517c5-4c33-4eff-9b55-c2d8bfc3a9b4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S26" dT="2022-03-04T17:32:39.14" personId="{797E1685-ED1A-459B-B01B-995B09A945B8}" id="{100CD69C-CE7A-4773-8A9E-F5B0353CBF3F}">
    <text>Se copia el valor de la celda Q26 solo en  la primera corrida, siempre que sea mayor a cero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D81C1-6CAE-4D7B-9D83-186BD84858A5}">
  <sheetPr codeName="Hoja1">
    <tabColor rgb="FFC00000"/>
  </sheetPr>
  <dimension ref="B2:I14"/>
  <sheetViews>
    <sheetView showGridLines="0" zoomScaleNormal="100" workbookViewId="0">
      <selection activeCell="C10" sqref="C10"/>
    </sheetView>
  </sheetViews>
  <sheetFormatPr baseColWidth="10" defaultColWidth="11.44140625" defaultRowHeight="13.2" x14ac:dyDescent="0.25"/>
  <cols>
    <col min="1" max="1" width="11.44140625" style="67"/>
    <col min="2" max="2" width="38.6640625" style="67" bestFit="1" customWidth="1"/>
    <col min="3" max="3" width="12" style="67" bestFit="1" customWidth="1"/>
    <col min="4" max="4" width="8.33203125" style="67" bestFit="1" customWidth="1"/>
    <col min="5" max="6" width="15" style="67" bestFit="1" customWidth="1"/>
    <col min="7" max="7" width="19.44140625" style="67" bestFit="1" customWidth="1"/>
    <col min="8" max="8" width="9.33203125" style="67" bestFit="1" customWidth="1"/>
    <col min="9" max="9" width="14.33203125" style="67" bestFit="1" customWidth="1"/>
    <col min="10" max="16384" width="11.44140625" style="67"/>
  </cols>
  <sheetData>
    <row r="2" spans="2:9" ht="13.8" x14ac:dyDescent="0.3">
      <c r="B2" s="30" t="s">
        <v>19</v>
      </c>
      <c r="C2" s="39">
        <v>33050</v>
      </c>
    </row>
    <row r="3" spans="2:9" ht="13.8" x14ac:dyDescent="0.3">
      <c r="B3" s="33" t="s">
        <v>22</v>
      </c>
      <c r="C3" s="39">
        <v>13.5</v>
      </c>
    </row>
    <row r="4" spans="2:9" ht="13.8" x14ac:dyDescent="0.3">
      <c r="B4" s="33" t="s">
        <v>53</v>
      </c>
      <c r="C4" s="288">
        <v>1.4999999999999999E-4</v>
      </c>
    </row>
    <row r="5" spans="2:9" ht="13.8" x14ac:dyDescent="0.3">
      <c r="B5" s="33" t="s">
        <v>51</v>
      </c>
      <c r="C5" s="39">
        <v>60</v>
      </c>
      <c r="D5" s="256">
        <f>+simulador_1!H12</f>
        <v>72</v>
      </c>
    </row>
    <row r="6" spans="2:9" ht="13.8" x14ac:dyDescent="0.3">
      <c r="B6" s="40" t="s">
        <v>55</v>
      </c>
      <c r="C6" s="60">
        <v>44679</v>
      </c>
    </row>
    <row r="7" spans="2:9" ht="13.8" x14ac:dyDescent="0.3">
      <c r="B7" s="59" t="s">
        <v>84</v>
      </c>
      <c r="C7" s="39">
        <v>3.03</v>
      </c>
    </row>
    <row r="8" spans="2:9" ht="13.8" x14ac:dyDescent="0.3">
      <c r="B8" s="33" t="s">
        <v>23</v>
      </c>
      <c r="C8" s="39">
        <v>17</v>
      </c>
    </row>
    <row r="9" spans="2:9" ht="13.8" x14ac:dyDescent="0.3">
      <c r="B9" s="33" t="s">
        <v>10</v>
      </c>
      <c r="C9" s="218">
        <v>1</v>
      </c>
    </row>
    <row r="10" spans="2:9" ht="13.8" x14ac:dyDescent="0.3">
      <c r="B10" s="33" t="s">
        <v>11</v>
      </c>
      <c r="C10" s="218">
        <v>6</v>
      </c>
    </row>
    <row r="12" spans="2:9" s="68" customFormat="1" x14ac:dyDescent="0.25">
      <c r="B12" s="69"/>
      <c r="C12" s="69" t="s">
        <v>78</v>
      </c>
      <c r="D12" s="69" t="s">
        <v>2</v>
      </c>
      <c r="E12" s="69" t="s">
        <v>79</v>
      </c>
      <c r="F12" s="69" t="s">
        <v>80</v>
      </c>
      <c r="G12" s="69" t="s">
        <v>106</v>
      </c>
      <c r="H12" s="69" t="s">
        <v>32</v>
      </c>
      <c r="I12" s="69" t="s">
        <v>105</v>
      </c>
    </row>
    <row r="13" spans="2:9" x14ac:dyDescent="0.25">
      <c r="B13" s="70" t="s">
        <v>76</v>
      </c>
      <c r="C13" s="71">
        <f>+'Simulador Original'!$G$5</f>
        <v>33050</v>
      </c>
      <c r="D13" s="72">
        <f>+SUM('Simulador Original'!$K$32:$K$103)</f>
        <v>10406.780000000004</v>
      </c>
      <c r="E13" s="70"/>
      <c r="F13" s="72">
        <f>+SUM('Simulador Original'!Q32:Q103)</f>
        <v>50500.950214285702</v>
      </c>
      <c r="G13" s="72"/>
      <c r="H13" s="224">
        <f>+'Simulador Original'!$Q$32</f>
        <v>1010.0190042857142</v>
      </c>
      <c r="I13" s="72"/>
    </row>
    <row r="14" spans="2:9" x14ac:dyDescent="0.25">
      <c r="B14" s="67" t="s">
        <v>77</v>
      </c>
      <c r="C14" s="219">
        <f>+simulador_1!$H$5</f>
        <v>34000</v>
      </c>
      <c r="D14" s="220">
        <f>+SUM(simulador_1!$L$33:$L$104)</f>
        <v>12824.969999999998</v>
      </c>
      <c r="E14" s="221">
        <f>+D14-D13</f>
        <v>2418.1899999999932</v>
      </c>
      <c r="F14" s="220">
        <f>+SUM(simulador_1!$U$33:$U$104)</f>
        <v>48934.913900000021</v>
      </c>
      <c r="G14" s="220">
        <f>+F14-F13</f>
        <v>-1566.0363142856804</v>
      </c>
      <c r="H14" s="223">
        <f>+simulador_1!U33</f>
        <v>679.6515819444445</v>
      </c>
      <c r="I14" s="220">
        <f>+H14-H13</f>
        <v>-330.36742234126973</v>
      </c>
    </row>
  </sheetData>
  <pageMargins left="0.7" right="0.7" top="0.75" bottom="0.75" header="0.3" footer="0.3"/>
  <pageSetup paperSize="9" orientation="portrait" r:id="rId1"/>
  <headerFooter>
    <oddFooter>&amp;C_x000D_&amp;1#&amp;"Calibri"&amp;8&amp;K000000 Información Interna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4D9F7-9764-4EAA-AE2E-806AB0331B2A}">
  <sheetPr codeName="Hoja3"/>
  <dimension ref="A1:Q100"/>
  <sheetViews>
    <sheetView showGridLines="0" tabSelected="1" workbookViewId="0">
      <selection activeCell="H14" sqref="H14"/>
    </sheetView>
  </sheetViews>
  <sheetFormatPr baseColWidth="10" defaultColWidth="0" defaultRowHeight="13.8" zeroHeight="1" x14ac:dyDescent="0.3"/>
  <cols>
    <col min="1" max="2" width="2.21875" style="300" customWidth="1"/>
    <col min="3" max="9" width="11.5546875" style="300" customWidth="1"/>
    <col min="10" max="11" width="2.21875" style="300" customWidth="1"/>
    <col min="12" max="16384" width="11.5546875" hidden="1"/>
  </cols>
  <sheetData>
    <row r="1" spans="1:11" x14ac:dyDescent="0.3">
      <c r="A1" s="299"/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1" x14ac:dyDescent="0.3"/>
    <row r="3" spans="1:11" x14ac:dyDescent="0.3">
      <c r="C3" s="315" t="s">
        <v>119</v>
      </c>
      <c r="D3" s="315"/>
      <c r="E3" s="315"/>
      <c r="F3" s="315"/>
      <c r="G3" s="315"/>
      <c r="H3" s="315"/>
      <c r="I3" s="315"/>
    </row>
    <row r="4" spans="1:11" x14ac:dyDescent="0.3">
      <c r="C4" s="315"/>
      <c r="D4" s="315"/>
      <c r="E4" s="315"/>
      <c r="F4" s="315"/>
      <c r="G4" s="315"/>
      <c r="H4" s="315"/>
      <c r="I4" s="315"/>
    </row>
    <row r="5" spans="1:11" ht="18" x14ac:dyDescent="0.3">
      <c r="C5" s="301"/>
      <c r="D5" s="301"/>
      <c r="E5" s="301"/>
      <c r="F5" s="301"/>
      <c r="G5" s="301"/>
      <c r="H5" s="301"/>
      <c r="I5" s="301"/>
    </row>
    <row r="6" spans="1:11" x14ac:dyDescent="0.3"/>
    <row r="7" spans="1:11" x14ac:dyDescent="0.3">
      <c r="C7" s="308" t="s">
        <v>120</v>
      </c>
      <c r="D7" s="302"/>
      <c r="E7" s="302"/>
      <c r="F7" s="302"/>
      <c r="G7" s="314">
        <v>34000</v>
      </c>
    </row>
    <row r="8" spans="1:11" x14ac:dyDescent="0.3">
      <c r="C8" s="308" t="s">
        <v>113</v>
      </c>
      <c r="D8" s="302"/>
      <c r="E8" s="302"/>
      <c r="F8" s="302"/>
      <c r="G8" s="311">
        <f ca="1">TODAY()</f>
        <v>45783</v>
      </c>
    </row>
    <row r="9" spans="1:11" x14ac:dyDescent="0.3">
      <c r="C9" s="308" t="s">
        <v>121</v>
      </c>
      <c r="D9" s="302"/>
      <c r="E9" s="302"/>
      <c r="F9" s="302"/>
      <c r="G9" s="310">
        <v>30</v>
      </c>
    </row>
    <row r="10" spans="1:11" x14ac:dyDescent="0.3">
      <c r="C10" s="308" t="s">
        <v>114</v>
      </c>
      <c r="D10" s="302"/>
      <c r="E10" s="302"/>
      <c r="F10" s="302"/>
      <c r="G10" s="311">
        <f>simulador_1!Q7</f>
        <v>44870</v>
      </c>
    </row>
    <row r="11" spans="1:11" x14ac:dyDescent="0.3">
      <c r="C11" s="308" t="s">
        <v>122</v>
      </c>
      <c r="D11" s="302"/>
      <c r="E11" s="302"/>
      <c r="F11" s="302"/>
      <c r="G11" s="310">
        <v>11.5</v>
      </c>
    </row>
    <row r="12" spans="1:11" x14ac:dyDescent="0.3">
      <c r="C12" s="308" t="s">
        <v>123</v>
      </c>
      <c r="D12" s="302"/>
      <c r="E12" s="302"/>
      <c r="F12" s="302"/>
      <c r="G12" s="310">
        <v>72</v>
      </c>
    </row>
    <row r="13" spans="1:11" x14ac:dyDescent="0.3">
      <c r="C13" s="308" t="s">
        <v>124</v>
      </c>
      <c r="D13" s="302"/>
      <c r="E13" s="302"/>
      <c r="F13" s="302"/>
      <c r="G13" s="310">
        <v>10</v>
      </c>
    </row>
    <row r="14" spans="1:11" x14ac:dyDescent="0.3">
      <c r="C14" s="309"/>
    </row>
    <row r="15" spans="1:11" x14ac:dyDescent="0.3">
      <c r="C15" s="308" t="s">
        <v>125</v>
      </c>
      <c r="D15" s="302"/>
      <c r="E15" s="302"/>
      <c r="F15" s="302"/>
      <c r="G15" s="312">
        <f>simulador_1!AI31</f>
        <v>0.12988039748306135</v>
      </c>
    </row>
    <row r="16" spans="1:11" x14ac:dyDescent="0.3">
      <c r="C16" s="308" t="s">
        <v>126</v>
      </c>
      <c r="D16" s="302"/>
      <c r="E16" s="302"/>
      <c r="F16" s="302"/>
      <c r="G16" s="313">
        <f>I20</f>
        <v>679.6515819444445</v>
      </c>
    </row>
    <row r="17" spans="3:17" x14ac:dyDescent="0.3"/>
    <row r="18" spans="3:17" ht="5.4" customHeight="1" x14ac:dyDescent="0.3"/>
    <row r="19" spans="3:17" ht="27" customHeight="1" x14ac:dyDescent="0.3">
      <c r="C19" s="303" t="s">
        <v>115</v>
      </c>
      <c r="D19" s="303" t="s">
        <v>116</v>
      </c>
      <c r="E19" s="303" t="s">
        <v>0</v>
      </c>
      <c r="F19" s="303" t="s">
        <v>2</v>
      </c>
      <c r="G19" s="303" t="s">
        <v>118</v>
      </c>
      <c r="H19" s="303" t="s">
        <v>117</v>
      </c>
      <c r="I19" s="303" t="s">
        <v>32</v>
      </c>
    </row>
    <row r="20" spans="3:17" x14ac:dyDescent="0.3">
      <c r="C20" s="304">
        <f>simulador_1!E33</f>
        <v>1</v>
      </c>
      <c r="D20" s="305">
        <f>simulador_1!J33</f>
        <v>34000</v>
      </c>
      <c r="E20" s="306">
        <f>simulador_1!K33</f>
        <v>294.14847222222232</v>
      </c>
      <c r="F20" s="306">
        <f>simulador_1!N33</f>
        <v>324.50310972222223</v>
      </c>
      <c r="G20" s="306">
        <f>simulador_1!T33</f>
        <v>51</v>
      </c>
      <c r="H20" s="306">
        <f>simulador_1!P33</f>
        <v>10</v>
      </c>
      <c r="I20" s="307">
        <f>simulador_1!U33</f>
        <v>679.6515819444445</v>
      </c>
    </row>
    <row r="21" spans="3:17" x14ac:dyDescent="0.3">
      <c r="C21" s="304">
        <f>simulador_1!E34</f>
        <v>2</v>
      </c>
      <c r="D21" s="305">
        <f>simulador_1!J34</f>
        <v>33705.85</v>
      </c>
      <c r="E21" s="306">
        <f>simulador_1!K34</f>
        <v>332.92847222222235</v>
      </c>
      <c r="F21" s="306">
        <f>simulador_1!N34</f>
        <v>311.44310972222223</v>
      </c>
      <c r="G21" s="306">
        <f>simulador_1!T34</f>
        <v>25.28</v>
      </c>
      <c r="H21" s="306">
        <f>simulador_1!P34</f>
        <v>10</v>
      </c>
      <c r="I21" s="307">
        <f>simulador_1!U34</f>
        <v>679.6515819444445</v>
      </c>
    </row>
    <row r="22" spans="3:17" x14ac:dyDescent="0.3">
      <c r="C22" s="304">
        <f>simulador_1!E35</f>
        <v>3</v>
      </c>
      <c r="D22" s="305">
        <f>simulador_1!J35</f>
        <v>33372.92</v>
      </c>
      <c r="E22" s="306">
        <f>simulador_1!K35</f>
        <v>325.19847222222228</v>
      </c>
      <c r="F22" s="306">
        <f>simulador_1!N35</f>
        <v>318.59310972222227</v>
      </c>
      <c r="G22" s="306">
        <f>simulador_1!T35</f>
        <v>25.86</v>
      </c>
      <c r="H22" s="306">
        <f>simulador_1!P35</f>
        <v>10</v>
      </c>
      <c r="I22" s="307">
        <f>simulador_1!U35</f>
        <v>679.6515819444445</v>
      </c>
    </row>
    <row r="23" spans="3:17" x14ac:dyDescent="0.3">
      <c r="C23" s="304">
        <f>simulador_1!E36</f>
        <v>4</v>
      </c>
      <c r="D23" s="305">
        <f>simulador_1!J36</f>
        <v>33047.72</v>
      </c>
      <c r="E23" s="306">
        <f>simulador_1!K36</f>
        <v>328.50847222222228</v>
      </c>
      <c r="F23" s="306">
        <f>simulador_1!N36</f>
        <v>315.53310972222226</v>
      </c>
      <c r="G23" s="306">
        <f>simulador_1!T36</f>
        <v>25.61</v>
      </c>
      <c r="H23" s="306">
        <f>simulador_1!P36</f>
        <v>10</v>
      </c>
      <c r="I23" s="307">
        <f>simulador_1!U36</f>
        <v>679.6515819444445</v>
      </c>
    </row>
    <row r="24" spans="3:17" x14ac:dyDescent="0.3">
      <c r="C24" s="304">
        <f>simulador_1!E37</f>
        <v>5</v>
      </c>
      <c r="D24" s="305">
        <f>simulador_1!J37</f>
        <v>32719.21</v>
      </c>
      <c r="E24" s="306">
        <f>simulador_1!K37</f>
        <v>364.25847222222234</v>
      </c>
      <c r="F24" s="306">
        <f>simulador_1!N37</f>
        <v>282.49310972222224</v>
      </c>
      <c r="G24" s="306">
        <f>simulador_1!T37</f>
        <v>22.9</v>
      </c>
      <c r="H24" s="306">
        <f>simulador_1!P37</f>
        <v>10</v>
      </c>
      <c r="I24" s="307">
        <f>simulador_1!U37</f>
        <v>679.6515819444445</v>
      </c>
    </row>
    <row r="25" spans="3:17" x14ac:dyDescent="0.3">
      <c r="C25" s="304">
        <f>simulador_1!E38</f>
        <v>6</v>
      </c>
      <c r="D25" s="305">
        <f>simulador_1!J38</f>
        <v>32354.95</v>
      </c>
      <c r="E25" s="306">
        <f>simulador_1!K38</f>
        <v>335.55847222222235</v>
      </c>
      <c r="F25" s="306">
        <f>simulador_1!N38</f>
        <v>309.01310972222223</v>
      </c>
      <c r="G25" s="306">
        <f>simulador_1!T38</f>
        <v>25.08</v>
      </c>
      <c r="H25" s="306">
        <f>simulador_1!P38</f>
        <v>10</v>
      </c>
      <c r="I25" s="307">
        <f>simulador_1!U38</f>
        <v>679.6515819444445</v>
      </c>
    </row>
    <row r="26" spans="3:17" x14ac:dyDescent="0.3">
      <c r="C26" s="304">
        <f>simulador_1!E39</f>
        <v>7</v>
      </c>
      <c r="D26" s="305">
        <f>simulador_1!J39</f>
        <v>32019.39</v>
      </c>
      <c r="E26" s="306">
        <f>simulador_1!K39</f>
        <v>349.55847222222235</v>
      </c>
      <c r="F26" s="306">
        <f>simulador_1!N39</f>
        <v>296.08310972222222</v>
      </c>
      <c r="G26" s="306">
        <f>simulador_1!T39</f>
        <v>24.01</v>
      </c>
      <c r="H26" s="306">
        <f>simulador_1!P39</f>
        <v>10</v>
      </c>
      <c r="I26" s="307">
        <f>simulador_1!U39</f>
        <v>679.6515819444445</v>
      </c>
    </row>
    <row r="27" spans="3:17" x14ac:dyDescent="0.3">
      <c r="C27" s="304">
        <f>simulador_1!E40</f>
        <v>8</v>
      </c>
      <c r="D27" s="305">
        <f>simulador_1!J40</f>
        <v>31669.83</v>
      </c>
      <c r="E27" s="306">
        <f>simulador_1!K40</f>
        <v>342.5484722222223</v>
      </c>
      <c r="F27" s="306">
        <f>simulador_1!N40</f>
        <v>302.56310972222224</v>
      </c>
      <c r="G27" s="306">
        <f>simulador_1!T40</f>
        <v>24.54</v>
      </c>
      <c r="H27" s="306">
        <f>simulador_1!P40</f>
        <v>10</v>
      </c>
      <c r="I27" s="307">
        <f>simulador_1!U40</f>
        <v>679.65158194444439</v>
      </c>
      <c r="Q27">
        <v>0</v>
      </c>
    </row>
    <row r="28" spans="3:17" x14ac:dyDescent="0.3">
      <c r="C28" s="304">
        <f>simulador_1!E41</f>
        <v>9</v>
      </c>
      <c r="D28" s="305">
        <f>simulador_1!J41</f>
        <v>31327.279999999999</v>
      </c>
      <c r="E28" s="306">
        <f>simulador_1!K41</f>
        <v>356.37847222222229</v>
      </c>
      <c r="F28" s="306">
        <f>simulador_1!N41</f>
        <v>289.77310972222227</v>
      </c>
      <c r="G28" s="306">
        <f>simulador_1!T41</f>
        <v>23.5</v>
      </c>
      <c r="H28" s="306">
        <f>simulador_1!P41</f>
        <v>10</v>
      </c>
      <c r="I28" s="307">
        <f>simulador_1!U41</f>
        <v>679.6515819444445</v>
      </c>
    </row>
    <row r="29" spans="3:17" x14ac:dyDescent="0.3">
      <c r="C29" s="304">
        <f>simulador_1!E42</f>
        <v>10</v>
      </c>
      <c r="D29" s="305">
        <f>simulador_1!J42</f>
        <v>30970.9</v>
      </c>
      <c r="E29" s="306">
        <f>simulador_1!K42</f>
        <v>349.6784722222223</v>
      </c>
      <c r="F29" s="306">
        <f>simulador_1!N42</f>
        <v>295.97310972222226</v>
      </c>
      <c r="G29" s="306">
        <f>simulador_1!T42</f>
        <v>24</v>
      </c>
      <c r="H29" s="306">
        <f>simulador_1!P42</f>
        <v>10</v>
      </c>
      <c r="I29" s="307">
        <f>simulador_1!U42</f>
        <v>679.6515819444445</v>
      </c>
    </row>
    <row r="30" spans="3:17" x14ac:dyDescent="0.3">
      <c r="C30" s="304">
        <f>simulador_1!E43</f>
        <v>11</v>
      </c>
      <c r="D30" s="305">
        <f>simulador_1!J43</f>
        <v>30621.22</v>
      </c>
      <c r="E30" s="306">
        <f>simulador_1!K43</f>
        <v>353.2384722222223</v>
      </c>
      <c r="F30" s="306">
        <f>simulador_1!N43</f>
        <v>292.68310972222224</v>
      </c>
      <c r="G30" s="306">
        <f>simulador_1!T43</f>
        <v>23.73</v>
      </c>
      <c r="H30" s="306">
        <f>simulador_1!P43</f>
        <v>10</v>
      </c>
      <c r="I30" s="307">
        <f>simulador_1!U43</f>
        <v>679.6515819444445</v>
      </c>
    </row>
    <row r="31" spans="3:17" x14ac:dyDescent="0.3">
      <c r="C31" s="304">
        <f>simulador_1!E44</f>
        <v>12</v>
      </c>
      <c r="D31" s="305">
        <f>simulador_1!J44</f>
        <v>30267.98</v>
      </c>
      <c r="E31" s="306">
        <f>simulador_1!K44</f>
        <v>366.82847222222233</v>
      </c>
      <c r="F31" s="306">
        <f>simulador_1!N44</f>
        <v>280.12310972222224</v>
      </c>
      <c r="G31" s="306">
        <f>simulador_1!T44</f>
        <v>22.7</v>
      </c>
      <c r="H31" s="306">
        <f>simulador_1!P44</f>
        <v>10</v>
      </c>
      <c r="I31" s="307">
        <f>simulador_1!U44</f>
        <v>679.65158194444462</v>
      </c>
    </row>
    <row r="32" spans="3:17" x14ac:dyDescent="0.3">
      <c r="C32" s="304">
        <f>simulador_1!E45</f>
        <v>13</v>
      </c>
      <c r="D32" s="305">
        <f>simulador_1!J45</f>
        <v>29901.15</v>
      </c>
      <c r="E32" s="306">
        <f>simulador_1!K45</f>
        <v>360.57847222222227</v>
      </c>
      <c r="F32" s="306">
        <f>simulador_1!N45</f>
        <v>285.90310972222227</v>
      </c>
      <c r="G32" s="306">
        <f>simulador_1!T45</f>
        <v>23.17</v>
      </c>
      <c r="H32" s="306">
        <f>simulador_1!P45</f>
        <v>10</v>
      </c>
      <c r="I32" s="307">
        <f>simulador_1!U45</f>
        <v>679.6515819444445</v>
      </c>
    </row>
    <row r="33" spans="3:9" x14ac:dyDescent="0.3">
      <c r="C33" s="304">
        <f>simulador_1!E46</f>
        <v>14</v>
      </c>
      <c r="D33" s="305">
        <f>simulador_1!J46</f>
        <v>29540.57</v>
      </c>
      <c r="E33" s="306">
        <f>simulador_1!K46</f>
        <v>373.99847222222229</v>
      </c>
      <c r="F33" s="306">
        <f>simulador_1!N46</f>
        <v>273.49310972222224</v>
      </c>
      <c r="G33" s="306">
        <f>simulador_1!T46</f>
        <v>22.16</v>
      </c>
      <c r="H33" s="306">
        <f>simulador_1!P46</f>
        <v>10</v>
      </c>
      <c r="I33" s="307">
        <f>simulador_1!U46</f>
        <v>679.6515819444445</v>
      </c>
    </row>
    <row r="34" spans="3:9" x14ac:dyDescent="0.3">
      <c r="C34" s="304">
        <f>simulador_1!E47</f>
        <v>15</v>
      </c>
      <c r="D34" s="305">
        <f>simulador_1!J47</f>
        <v>29166.57</v>
      </c>
      <c r="E34" s="306">
        <f>simulador_1!K47</f>
        <v>368.06847222222228</v>
      </c>
      <c r="F34" s="306">
        <f>simulador_1!N47</f>
        <v>278.98310972222225</v>
      </c>
      <c r="G34" s="306">
        <f>simulador_1!T47</f>
        <v>22.6</v>
      </c>
      <c r="H34" s="306">
        <f>simulador_1!P47</f>
        <v>10</v>
      </c>
      <c r="I34" s="307">
        <f>simulador_1!U47</f>
        <v>679.6515819444445</v>
      </c>
    </row>
    <row r="35" spans="3:9" x14ac:dyDescent="0.3">
      <c r="C35" s="304">
        <f>simulador_1!E48</f>
        <v>16</v>
      </c>
      <c r="D35" s="305">
        <f>simulador_1!J48</f>
        <v>28798.5</v>
      </c>
      <c r="E35" s="306">
        <f>simulador_1!K48</f>
        <v>371.81847222222234</v>
      </c>
      <c r="F35" s="306">
        <f>simulador_1!N48</f>
        <v>275.51310972222223</v>
      </c>
      <c r="G35" s="306">
        <f>simulador_1!T48</f>
        <v>22.32</v>
      </c>
      <c r="H35" s="306">
        <f>simulador_1!P48</f>
        <v>10</v>
      </c>
      <c r="I35" s="307">
        <f>simulador_1!U48</f>
        <v>679.6515819444445</v>
      </c>
    </row>
    <row r="36" spans="3:9" x14ac:dyDescent="0.3">
      <c r="C36" s="304">
        <f>simulador_1!E49</f>
        <v>17</v>
      </c>
      <c r="D36" s="305">
        <f>simulador_1!J49</f>
        <v>28426.68</v>
      </c>
      <c r="E36" s="306">
        <f>simulador_1!K49</f>
        <v>394.37847222222229</v>
      </c>
      <c r="F36" s="306">
        <f>simulador_1!N49</f>
        <v>254.66310972222223</v>
      </c>
      <c r="G36" s="306">
        <f>simulador_1!T49</f>
        <v>20.61</v>
      </c>
      <c r="H36" s="306">
        <f>simulador_1!P49</f>
        <v>10</v>
      </c>
      <c r="I36" s="307">
        <f>simulador_1!U49</f>
        <v>679.6515819444445</v>
      </c>
    </row>
    <row r="37" spans="3:9" x14ac:dyDescent="0.3">
      <c r="C37" s="304">
        <f>simulador_1!E50</f>
        <v>18</v>
      </c>
      <c r="D37" s="305">
        <f>simulador_1!J50</f>
        <v>28032.3</v>
      </c>
      <c r="E37" s="306">
        <f>simulador_1!K50</f>
        <v>379.61847222222229</v>
      </c>
      <c r="F37" s="306">
        <f>simulador_1!N50</f>
        <v>268.30310972222225</v>
      </c>
      <c r="G37" s="306">
        <f>simulador_1!T50</f>
        <v>21.73</v>
      </c>
      <c r="H37" s="306">
        <f>simulador_1!P50</f>
        <v>10</v>
      </c>
      <c r="I37" s="307">
        <f>simulador_1!U50</f>
        <v>679.6515819444445</v>
      </c>
    </row>
    <row r="38" spans="3:9" x14ac:dyDescent="0.3">
      <c r="C38" s="304">
        <f>simulador_1!E51</f>
        <v>19</v>
      </c>
      <c r="D38" s="305">
        <f>simulador_1!J51</f>
        <v>27652.68</v>
      </c>
      <c r="E38" s="306">
        <f>simulador_1!K51</f>
        <v>392.62847222222229</v>
      </c>
      <c r="F38" s="306">
        <f>simulador_1!N51</f>
        <v>256.28310972222221</v>
      </c>
      <c r="G38" s="306">
        <f>simulador_1!T51</f>
        <v>20.74</v>
      </c>
      <c r="H38" s="306">
        <f>simulador_1!P51</f>
        <v>10</v>
      </c>
      <c r="I38" s="307">
        <f>simulador_1!U51</f>
        <v>679.6515819444445</v>
      </c>
    </row>
    <row r="39" spans="3:9" x14ac:dyDescent="0.3">
      <c r="C39" s="304">
        <f>simulador_1!E52</f>
        <v>20</v>
      </c>
      <c r="D39" s="305">
        <f>simulador_1!J52</f>
        <v>27260.05</v>
      </c>
      <c r="E39" s="306">
        <f>simulador_1!K52</f>
        <v>387.4884722222223</v>
      </c>
      <c r="F39" s="306">
        <f>simulador_1!N52</f>
        <v>261.03310972222226</v>
      </c>
      <c r="G39" s="306">
        <f>simulador_1!T52</f>
        <v>21.13</v>
      </c>
      <c r="H39" s="306">
        <f>simulador_1!P52</f>
        <v>10</v>
      </c>
      <c r="I39" s="307">
        <f>simulador_1!U52</f>
        <v>679.6515819444445</v>
      </c>
    </row>
    <row r="40" spans="3:9" x14ac:dyDescent="0.3">
      <c r="C40" s="304">
        <f>simulador_1!E53</f>
        <v>21</v>
      </c>
      <c r="D40" s="305">
        <f>simulador_1!J53</f>
        <v>26872.560000000001</v>
      </c>
      <c r="E40" s="306">
        <f>simulador_1!K53</f>
        <v>400.31847222222234</v>
      </c>
      <c r="F40" s="306">
        <f>simulador_1!N53</f>
        <v>249.18310972222221</v>
      </c>
      <c r="G40" s="306">
        <f>simulador_1!T53</f>
        <v>20.149999999999999</v>
      </c>
      <c r="H40" s="306">
        <f>simulador_1!P53</f>
        <v>10</v>
      </c>
      <c r="I40" s="307">
        <f>simulador_1!U53</f>
        <v>679.6515819444445</v>
      </c>
    </row>
    <row r="41" spans="3:9" x14ac:dyDescent="0.3">
      <c r="C41" s="304">
        <f>simulador_1!E54</f>
        <v>22</v>
      </c>
      <c r="D41" s="305">
        <f>simulador_1!J54</f>
        <v>26472.240000000002</v>
      </c>
      <c r="E41" s="306">
        <f>simulador_1!K54</f>
        <v>395.51847222222233</v>
      </c>
      <c r="F41" s="306">
        <f>simulador_1!N54</f>
        <v>253.61310972222222</v>
      </c>
      <c r="G41" s="306">
        <f>simulador_1!T54</f>
        <v>20.52</v>
      </c>
      <c r="H41" s="306">
        <f>simulador_1!P54</f>
        <v>10</v>
      </c>
      <c r="I41" s="307">
        <f>simulador_1!U54</f>
        <v>679.6515819444445</v>
      </c>
    </row>
    <row r="42" spans="3:9" x14ac:dyDescent="0.3">
      <c r="C42" s="304">
        <f>simulador_1!E55</f>
        <v>23</v>
      </c>
      <c r="D42" s="305">
        <f>simulador_1!J55</f>
        <v>26076.720000000001</v>
      </c>
      <c r="E42" s="306">
        <f>simulador_1!K55</f>
        <v>399.55847222222229</v>
      </c>
      <c r="F42" s="306">
        <f>simulador_1!N55</f>
        <v>249.88310972222223</v>
      </c>
      <c r="G42" s="306">
        <f>simulador_1!T55</f>
        <v>20.21</v>
      </c>
      <c r="H42" s="306">
        <f>simulador_1!P55</f>
        <v>10</v>
      </c>
      <c r="I42" s="307">
        <f>simulador_1!U55</f>
        <v>679.6515819444445</v>
      </c>
    </row>
    <row r="43" spans="3:9" x14ac:dyDescent="0.3">
      <c r="C43" s="304">
        <f>simulador_1!E56</f>
        <v>24</v>
      </c>
      <c r="D43" s="305">
        <f>simulador_1!J56</f>
        <v>25677.16</v>
      </c>
      <c r="E43" s="306">
        <f>simulador_1!K56</f>
        <v>412.1084722222223</v>
      </c>
      <c r="F43" s="306">
        <f>simulador_1!N56</f>
        <v>238.28310972222221</v>
      </c>
      <c r="G43" s="306">
        <f>simulador_1!T56</f>
        <v>19.260000000000002</v>
      </c>
      <c r="H43" s="306">
        <f>simulador_1!P56</f>
        <v>10</v>
      </c>
      <c r="I43" s="307">
        <f>simulador_1!U56</f>
        <v>679.6515819444445</v>
      </c>
    </row>
    <row r="44" spans="3:9" x14ac:dyDescent="0.3">
      <c r="C44" s="304">
        <f>simulador_1!E57</f>
        <v>25</v>
      </c>
      <c r="D44" s="305">
        <f>simulador_1!J57</f>
        <v>25265.05</v>
      </c>
      <c r="E44" s="306">
        <f>simulador_1!K57</f>
        <v>407.82847222222233</v>
      </c>
      <c r="F44" s="306">
        <f>simulador_1!N57</f>
        <v>242.24310972222221</v>
      </c>
      <c r="G44" s="306">
        <f>simulador_1!T57</f>
        <v>19.579999999999998</v>
      </c>
      <c r="H44" s="306">
        <f>simulador_1!P57</f>
        <v>10</v>
      </c>
      <c r="I44" s="307">
        <f>simulador_1!U57</f>
        <v>679.6515819444445</v>
      </c>
    </row>
    <row r="45" spans="3:9" x14ac:dyDescent="0.3">
      <c r="C45" s="304">
        <f>simulador_1!E58</f>
        <v>26</v>
      </c>
      <c r="D45" s="305">
        <f>simulador_1!J58</f>
        <v>24857.22</v>
      </c>
      <c r="E45" s="306">
        <f>simulador_1!K58</f>
        <v>420.19847222222234</v>
      </c>
      <c r="F45" s="306">
        <f>simulador_1!N58</f>
        <v>230.81310972222221</v>
      </c>
      <c r="G45" s="306">
        <f>simulador_1!T58</f>
        <v>18.64</v>
      </c>
      <c r="H45" s="306">
        <f>simulador_1!P58</f>
        <v>10</v>
      </c>
      <c r="I45" s="307">
        <f>simulador_1!U58</f>
        <v>679.6515819444445</v>
      </c>
    </row>
    <row r="46" spans="3:9" x14ac:dyDescent="0.3">
      <c r="C46" s="304">
        <f>simulador_1!E59</f>
        <v>27</v>
      </c>
      <c r="D46" s="305">
        <f>simulador_1!J59</f>
        <v>24437.02</v>
      </c>
      <c r="E46" s="306">
        <f>simulador_1!K59</f>
        <v>416.26847222222233</v>
      </c>
      <c r="F46" s="306">
        <f>simulador_1!N59</f>
        <v>234.4431097222222</v>
      </c>
      <c r="G46" s="306">
        <f>simulador_1!T59</f>
        <v>18.940000000000001</v>
      </c>
      <c r="H46" s="306">
        <f>simulador_1!P59</f>
        <v>10</v>
      </c>
      <c r="I46" s="307">
        <f>simulador_1!U59</f>
        <v>679.65158194444462</v>
      </c>
    </row>
    <row r="47" spans="3:9" x14ac:dyDescent="0.3">
      <c r="C47" s="304">
        <f>simulador_1!E60</f>
        <v>28</v>
      </c>
      <c r="D47" s="305">
        <f>simulador_1!J60</f>
        <v>24020.75</v>
      </c>
      <c r="E47" s="306">
        <f>simulador_1!K60</f>
        <v>420.50847222222228</v>
      </c>
      <c r="F47" s="306">
        <f>simulador_1!N60</f>
        <v>230.52310972222222</v>
      </c>
      <c r="G47" s="306">
        <f>simulador_1!T60</f>
        <v>18.62</v>
      </c>
      <c r="H47" s="306">
        <f>simulador_1!P60</f>
        <v>10</v>
      </c>
      <c r="I47" s="307">
        <f>simulador_1!U60</f>
        <v>679.6515819444445</v>
      </c>
    </row>
    <row r="48" spans="3:9" x14ac:dyDescent="0.3">
      <c r="C48" s="304">
        <f>simulador_1!E61</f>
        <v>29</v>
      </c>
      <c r="D48" s="305">
        <f>simulador_1!J61</f>
        <v>23600.240000000002</v>
      </c>
      <c r="E48" s="306">
        <f>simulador_1!K61</f>
        <v>448.16847222222236</v>
      </c>
      <c r="F48" s="306">
        <f>simulador_1!N61</f>
        <v>204.96310972222221</v>
      </c>
      <c r="G48" s="306">
        <f>simulador_1!T61</f>
        <v>16.52</v>
      </c>
      <c r="H48" s="306">
        <f>simulador_1!P61</f>
        <v>10</v>
      </c>
      <c r="I48" s="307">
        <f>simulador_1!U61</f>
        <v>679.6515819444445</v>
      </c>
    </row>
    <row r="49" spans="3:9" x14ac:dyDescent="0.3">
      <c r="C49" s="304">
        <f>simulador_1!E62</f>
        <v>30</v>
      </c>
      <c r="D49" s="305">
        <f>simulador_1!J62</f>
        <v>23152.07</v>
      </c>
      <c r="E49" s="306">
        <f>simulador_1!K62</f>
        <v>429.36847222222235</v>
      </c>
      <c r="F49" s="306">
        <f>simulador_1!N62</f>
        <v>222.34310972222221</v>
      </c>
      <c r="G49" s="306">
        <f>simulador_1!T62</f>
        <v>17.940000000000001</v>
      </c>
      <c r="H49" s="306">
        <f>simulador_1!P62</f>
        <v>10</v>
      </c>
      <c r="I49" s="307">
        <f>simulador_1!U62</f>
        <v>679.65158194444462</v>
      </c>
    </row>
    <row r="50" spans="3:9" x14ac:dyDescent="0.3">
      <c r="C50" s="304">
        <f>simulador_1!E63</f>
        <v>31</v>
      </c>
      <c r="D50" s="305">
        <f>simulador_1!J63</f>
        <v>22722.7</v>
      </c>
      <c r="E50" s="306">
        <f>simulador_1!K63</f>
        <v>441.24847222222229</v>
      </c>
      <c r="F50" s="306">
        <f>simulador_1!N63</f>
        <v>211.36310972222222</v>
      </c>
      <c r="G50" s="306">
        <f>simulador_1!T63</f>
        <v>17.04</v>
      </c>
      <c r="H50" s="306">
        <f>simulador_1!P63</f>
        <v>10</v>
      </c>
      <c r="I50" s="307">
        <f>simulador_1!U63</f>
        <v>679.65158194444439</v>
      </c>
    </row>
    <row r="51" spans="3:9" x14ac:dyDescent="0.3">
      <c r="C51" s="304">
        <f>simulador_1!E64</f>
        <v>32</v>
      </c>
      <c r="D51" s="305">
        <f>simulador_1!J64</f>
        <v>22281.45</v>
      </c>
      <c r="E51" s="306">
        <f>simulador_1!K64</f>
        <v>438.2384722222223</v>
      </c>
      <c r="F51" s="306">
        <f>simulador_1!N64</f>
        <v>214.14310972222222</v>
      </c>
      <c r="G51" s="306">
        <f>simulador_1!T64</f>
        <v>17.27</v>
      </c>
      <c r="H51" s="306">
        <f>simulador_1!P64</f>
        <v>10</v>
      </c>
      <c r="I51" s="307">
        <f>simulador_1!U64</f>
        <v>679.6515819444445</v>
      </c>
    </row>
    <row r="52" spans="3:9" x14ac:dyDescent="0.3">
      <c r="C52" s="304">
        <f>simulador_1!E65</f>
        <v>33</v>
      </c>
      <c r="D52" s="305">
        <f>simulador_1!J65</f>
        <v>21843.21</v>
      </c>
      <c r="E52" s="306">
        <f>simulador_1!K65</f>
        <v>449.91847222222231</v>
      </c>
      <c r="F52" s="306">
        <f>simulador_1!N65</f>
        <v>203.35310972222223</v>
      </c>
      <c r="G52" s="306">
        <f>simulador_1!T65</f>
        <v>16.38</v>
      </c>
      <c r="H52" s="306">
        <f>simulador_1!P65</f>
        <v>10</v>
      </c>
      <c r="I52" s="307">
        <f>simulador_1!U65</f>
        <v>679.6515819444445</v>
      </c>
    </row>
    <row r="53" spans="3:9" x14ac:dyDescent="0.3">
      <c r="C53" s="304">
        <f>simulador_1!E66</f>
        <v>34</v>
      </c>
      <c r="D53" s="305">
        <f>simulador_1!J66</f>
        <v>21393.29</v>
      </c>
      <c r="E53" s="306">
        <f>simulador_1!K66</f>
        <v>447.2984722222223</v>
      </c>
      <c r="F53" s="306">
        <f>simulador_1!N66</f>
        <v>205.77310972222222</v>
      </c>
      <c r="G53" s="306">
        <f>simulador_1!T66</f>
        <v>16.579999999999998</v>
      </c>
      <c r="H53" s="306">
        <f>simulador_1!P66</f>
        <v>10</v>
      </c>
      <c r="I53" s="307">
        <f>simulador_1!U66</f>
        <v>679.6515819444445</v>
      </c>
    </row>
    <row r="54" spans="3:9" x14ac:dyDescent="0.3">
      <c r="C54" s="304">
        <f>simulador_1!E67</f>
        <v>35</v>
      </c>
      <c r="D54" s="305">
        <f>simulador_1!J67</f>
        <v>20945.990000000002</v>
      </c>
      <c r="E54" s="306">
        <f>simulador_1!K67</f>
        <v>451.8584722222223</v>
      </c>
      <c r="F54" s="306">
        <f>simulador_1!N67</f>
        <v>201.56310972222221</v>
      </c>
      <c r="G54" s="306">
        <f>simulador_1!T67</f>
        <v>16.23</v>
      </c>
      <c r="H54" s="306">
        <f>simulador_1!P67</f>
        <v>10</v>
      </c>
      <c r="I54" s="307">
        <f>simulador_1!U67</f>
        <v>679.6515819444445</v>
      </c>
    </row>
    <row r="55" spans="3:9" x14ac:dyDescent="0.3">
      <c r="C55" s="304">
        <f>simulador_1!E68</f>
        <v>36</v>
      </c>
      <c r="D55" s="305">
        <f>simulador_1!J68</f>
        <v>20494.13</v>
      </c>
      <c r="E55" s="306">
        <f>simulador_1!K68</f>
        <v>463.22847222222231</v>
      </c>
      <c r="F55" s="306">
        <f>simulador_1!N68</f>
        <v>191.05310972222222</v>
      </c>
      <c r="G55" s="306">
        <f>simulador_1!T68</f>
        <v>15.37</v>
      </c>
      <c r="H55" s="306">
        <f>simulador_1!P68</f>
        <v>10</v>
      </c>
      <c r="I55" s="307">
        <f>simulador_1!U68</f>
        <v>679.6515819444445</v>
      </c>
    </row>
    <row r="56" spans="3:9" x14ac:dyDescent="0.3">
      <c r="C56" s="304">
        <f>simulador_1!E69</f>
        <v>37</v>
      </c>
      <c r="D56" s="305">
        <f>simulador_1!J69</f>
        <v>20030.900000000001</v>
      </c>
      <c r="E56" s="306">
        <f>simulador_1!K69</f>
        <v>461.18847222222234</v>
      </c>
      <c r="F56" s="306">
        <f>simulador_1!N69</f>
        <v>192.9431097222222</v>
      </c>
      <c r="G56" s="306">
        <f>simulador_1!T69</f>
        <v>15.52</v>
      </c>
      <c r="H56" s="306">
        <f>simulador_1!P69</f>
        <v>10</v>
      </c>
      <c r="I56" s="307">
        <f>simulador_1!U69</f>
        <v>679.6515819444445</v>
      </c>
    </row>
    <row r="57" spans="3:9" x14ac:dyDescent="0.3">
      <c r="C57" s="304">
        <f>simulador_1!E70</f>
        <v>38</v>
      </c>
      <c r="D57" s="305">
        <f>simulador_1!J70</f>
        <v>19569.71</v>
      </c>
      <c r="E57" s="306">
        <f>simulador_1!K70</f>
        <v>472.33847222222226</v>
      </c>
      <c r="F57" s="306">
        <f>simulador_1!N70</f>
        <v>182.63310972222223</v>
      </c>
      <c r="G57" s="306">
        <f>simulador_1!T70</f>
        <v>14.68</v>
      </c>
      <c r="H57" s="306">
        <f>simulador_1!P70</f>
        <v>10</v>
      </c>
      <c r="I57" s="307">
        <f>simulador_1!U70</f>
        <v>679.65158194444439</v>
      </c>
    </row>
    <row r="58" spans="3:9" x14ac:dyDescent="0.3">
      <c r="C58" s="304">
        <f>simulador_1!E71</f>
        <v>39</v>
      </c>
      <c r="D58" s="305">
        <f>simulador_1!J71</f>
        <v>19097.37</v>
      </c>
      <c r="E58" s="306">
        <f>simulador_1!K71</f>
        <v>470.69847222222228</v>
      </c>
      <c r="F58" s="306">
        <f>simulador_1!N71</f>
        <v>184.15310972222221</v>
      </c>
      <c r="G58" s="306">
        <f>simulador_1!T71</f>
        <v>14.8</v>
      </c>
      <c r="H58" s="306">
        <f>simulador_1!P71</f>
        <v>10</v>
      </c>
      <c r="I58" s="307">
        <f>simulador_1!U71</f>
        <v>679.65158194444439</v>
      </c>
    </row>
    <row r="59" spans="3:9" x14ac:dyDescent="0.3">
      <c r="C59" s="304">
        <f>simulador_1!E72</f>
        <v>40</v>
      </c>
      <c r="D59" s="305">
        <f>simulador_1!J72</f>
        <v>18626.669999999998</v>
      </c>
      <c r="E59" s="306">
        <f>simulador_1!K72</f>
        <v>475.48847222222236</v>
      </c>
      <c r="F59" s="306">
        <f>simulador_1!N72</f>
        <v>179.7231097222222</v>
      </c>
      <c r="G59" s="306">
        <f>simulador_1!T72</f>
        <v>14.44</v>
      </c>
      <c r="H59" s="306">
        <f>simulador_1!P72</f>
        <v>10</v>
      </c>
      <c r="I59" s="307">
        <f>simulador_1!U72</f>
        <v>679.65158194444462</v>
      </c>
    </row>
    <row r="60" spans="3:9" x14ac:dyDescent="0.3">
      <c r="C60" s="304">
        <f>simulador_1!E73</f>
        <v>41</v>
      </c>
      <c r="D60" s="305">
        <f>simulador_1!J73</f>
        <v>18151.18</v>
      </c>
      <c r="E60" s="306">
        <f>simulador_1!K73</f>
        <v>498.30847222222229</v>
      </c>
      <c r="F60" s="306">
        <f>simulador_1!N73</f>
        <v>158.63310972222223</v>
      </c>
      <c r="G60" s="306">
        <f>simulador_1!T73</f>
        <v>12.71</v>
      </c>
      <c r="H60" s="306">
        <f>simulador_1!P73</f>
        <v>10</v>
      </c>
      <c r="I60" s="307">
        <f>simulador_1!U73</f>
        <v>679.6515819444445</v>
      </c>
    </row>
    <row r="61" spans="3:9" x14ac:dyDescent="0.3">
      <c r="C61" s="304">
        <f>simulador_1!E74</f>
        <v>42</v>
      </c>
      <c r="D61" s="305">
        <f>simulador_1!J74</f>
        <v>17652.87</v>
      </c>
      <c r="E61" s="306">
        <f>simulador_1!K74</f>
        <v>485.41847222222231</v>
      </c>
      <c r="F61" s="306">
        <f>simulador_1!N74</f>
        <v>170.55310972222222</v>
      </c>
      <c r="G61" s="306">
        <f>simulador_1!T74</f>
        <v>13.68</v>
      </c>
      <c r="H61" s="306">
        <f>simulador_1!P74</f>
        <v>10</v>
      </c>
      <c r="I61" s="307">
        <f>simulador_1!U74</f>
        <v>679.6515819444445</v>
      </c>
    </row>
    <row r="62" spans="3:9" x14ac:dyDescent="0.3">
      <c r="C62" s="304">
        <f>simulador_1!E75</f>
        <v>43</v>
      </c>
      <c r="D62" s="305">
        <f>simulador_1!J75</f>
        <v>17167.45</v>
      </c>
      <c r="E62" s="306">
        <f>simulador_1!K75</f>
        <v>496.02847222222232</v>
      </c>
      <c r="F62" s="306">
        <f>simulador_1!N75</f>
        <v>160.74310972222221</v>
      </c>
      <c r="G62" s="306">
        <f>simulador_1!T75</f>
        <v>12.88</v>
      </c>
      <c r="H62" s="306">
        <f>simulador_1!P75</f>
        <v>10</v>
      </c>
      <c r="I62" s="307">
        <f>simulador_1!U75</f>
        <v>679.6515819444445</v>
      </c>
    </row>
    <row r="63" spans="3:9" x14ac:dyDescent="0.3">
      <c r="C63" s="304">
        <f>simulador_1!E76</f>
        <v>44</v>
      </c>
      <c r="D63" s="305">
        <f>simulador_1!J76</f>
        <v>16671.419999999998</v>
      </c>
      <c r="E63" s="306">
        <f>simulador_1!K76</f>
        <v>495.41847222222231</v>
      </c>
      <c r="F63" s="306">
        <f>simulador_1!N76</f>
        <v>161.31310972222221</v>
      </c>
      <c r="G63" s="306">
        <f>simulador_1!T76</f>
        <v>12.92</v>
      </c>
      <c r="H63" s="306">
        <f>simulador_1!P76</f>
        <v>10</v>
      </c>
      <c r="I63" s="307">
        <f>simulador_1!U76</f>
        <v>679.6515819444445</v>
      </c>
    </row>
    <row r="64" spans="3:9" x14ac:dyDescent="0.3">
      <c r="C64" s="304">
        <f>simulador_1!E77</f>
        <v>45</v>
      </c>
      <c r="D64" s="305">
        <f>simulador_1!J77</f>
        <v>16176</v>
      </c>
      <c r="E64" s="306">
        <f>simulador_1!K77</f>
        <v>505.81847222222234</v>
      </c>
      <c r="F64" s="306">
        <f>simulador_1!N77</f>
        <v>151.70310972222222</v>
      </c>
      <c r="G64" s="306">
        <f>simulador_1!T77</f>
        <v>12.13</v>
      </c>
      <c r="H64" s="306">
        <f>simulador_1!P77</f>
        <v>10</v>
      </c>
      <c r="I64" s="307">
        <f>simulador_1!U77</f>
        <v>679.6515819444445</v>
      </c>
    </row>
    <row r="65" spans="3:9" x14ac:dyDescent="0.3">
      <c r="C65" s="304">
        <f>simulador_1!E78</f>
        <v>46</v>
      </c>
      <c r="D65" s="305">
        <f>simulador_1!J78</f>
        <v>15670.18</v>
      </c>
      <c r="E65" s="306">
        <f>simulador_1!K78</f>
        <v>505.62847222222229</v>
      </c>
      <c r="F65" s="306">
        <f>simulador_1!N78</f>
        <v>151.88310972222223</v>
      </c>
      <c r="G65" s="306">
        <f>simulador_1!T78</f>
        <v>12.14</v>
      </c>
      <c r="H65" s="306">
        <f>simulador_1!P78</f>
        <v>10</v>
      </c>
      <c r="I65" s="307">
        <f>simulador_1!U78</f>
        <v>679.6515819444445</v>
      </c>
    </row>
    <row r="66" spans="3:9" x14ac:dyDescent="0.3">
      <c r="C66" s="304">
        <f>simulador_1!E79</f>
        <v>47</v>
      </c>
      <c r="D66" s="305">
        <f>simulador_1!J79</f>
        <v>15164.55</v>
      </c>
      <c r="E66" s="306">
        <f>simulador_1!K79</f>
        <v>510.78847222222225</v>
      </c>
      <c r="F66" s="306">
        <f>simulador_1!N79</f>
        <v>147.11310972222222</v>
      </c>
      <c r="G66" s="306">
        <f>simulador_1!T79</f>
        <v>11.75</v>
      </c>
      <c r="H66" s="306">
        <f>simulador_1!P79</f>
        <v>10</v>
      </c>
      <c r="I66" s="307">
        <f>simulador_1!U79</f>
        <v>679.65158194444439</v>
      </c>
    </row>
    <row r="67" spans="3:9" x14ac:dyDescent="0.3">
      <c r="C67" s="304">
        <f>simulador_1!E80</f>
        <v>48</v>
      </c>
      <c r="D67" s="305">
        <f>simulador_1!J80</f>
        <v>14653.76</v>
      </c>
      <c r="E67" s="306">
        <f>simulador_1!K80</f>
        <v>520.82847222222233</v>
      </c>
      <c r="F67" s="306">
        <f>simulador_1!N80</f>
        <v>137.83310972222222</v>
      </c>
      <c r="G67" s="306">
        <f>simulador_1!T80</f>
        <v>10.99</v>
      </c>
      <c r="H67" s="306">
        <f>simulador_1!P80</f>
        <v>10</v>
      </c>
      <c r="I67" s="307">
        <f>simulador_1!U80</f>
        <v>679.6515819444445</v>
      </c>
    </row>
    <row r="68" spans="3:9" x14ac:dyDescent="0.3">
      <c r="C68" s="304">
        <f>simulador_1!E81</f>
        <v>49</v>
      </c>
      <c r="D68" s="305">
        <f>simulador_1!J81</f>
        <v>14132.93</v>
      </c>
      <c r="E68" s="306">
        <f>simulador_1!K81</f>
        <v>521.29847222222224</v>
      </c>
      <c r="F68" s="306">
        <f>simulador_1!N81</f>
        <v>137.40310972222221</v>
      </c>
      <c r="G68" s="306">
        <f>simulador_1!T81</f>
        <v>10.95</v>
      </c>
      <c r="H68" s="306">
        <f>simulador_1!P81</f>
        <v>10</v>
      </c>
      <c r="I68" s="307">
        <f>simulador_1!U81</f>
        <v>679.6515819444445</v>
      </c>
    </row>
    <row r="69" spans="3:9" x14ac:dyDescent="0.3">
      <c r="C69" s="304">
        <f>simulador_1!E82</f>
        <v>50</v>
      </c>
      <c r="D69" s="305">
        <f>simulador_1!J82</f>
        <v>13611.63</v>
      </c>
      <c r="E69" s="306">
        <f>simulador_1!K82</f>
        <v>531.09847222222231</v>
      </c>
      <c r="F69" s="306">
        <f>simulador_1!N82</f>
        <v>128.34310972222224</v>
      </c>
      <c r="G69" s="306">
        <f>simulador_1!T82</f>
        <v>10.210000000000001</v>
      </c>
      <c r="H69" s="306">
        <f>simulador_1!P82</f>
        <v>10</v>
      </c>
      <c r="I69" s="307">
        <f>simulador_1!U82</f>
        <v>679.6515819444445</v>
      </c>
    </row>
    <row r="70" spans="3:9" x14ac:dyDescent="0.3">
      <c r="C70" s="304">
        <f>simulador_1!E83</f>
        <v>51</v>
      </c>
      <c r="D70" s="305">
        <f>simulador_1!J83</f>
        <v>13080.53</v>
      </c>
      <c r="E70" s="306">
        <f>simulador_1!K83</f>
        <v>532.01847222222239</v>
      </c>
      <c r="F70" s="306">
        <f>simulador_1!N83</f>
        <v>127.49310972222221</v>
      </c>
      <c r="G70" s="306">
        <f>simulador_1!T83</f>
        <v>10.14</v>
      </c>
      <c r="H70" s="306">
        <f>simulador_1!P83</f>
        <v>10</v>
      </c>
      <c r="I70" s="307">
        <f>simulador_1!U83</f>
        <v>679.6515819444445</v>
      </c>
    </row>
    <row r="71" spans="3:9" x14ac:dyDescent="0.3">
      <c r="C71" s="304">
        <f>simulador_1!E84</f>
        <v>52</v>
      </c>
      <c r="D71" s="305">
        <f>simulador_1!J84</f>
        <v>12548.51</v>
      </c>
      <c r="E71" s="306">
        <f>simulador_1!K84</f>
        <v>537.43847222222234</v>
      </c>
      <c r="F71" s="306">
        <f>simulador_1!N84</f>
        <v>122.48310972222222</v>
      </c>
      <c r="G71" s="306">
        <f>simulador_1!T84</f>
        <v>9.73</v>
      </c>
      <c r="H71" s="306">
        <f>simulador_1!P84</f>
        <v>10</v>
      </c>
      <c r="I71" s="307">
        <f>simulador_1!U84</f>
        <v>679.65158194444462</v>
      </c>
    </row>
    <row r="72" spans="3:9" x14ac:dyDescent="0.3">
      <c r="C72" s="304">
        <f>simulador_1!E85</f>
        <v>53</v>
      </c>
      <c r="D72" s="305">
        <f>simulador_1!J85</f>
        <v>12011.07</v>
      </c>
      <c r="E72" s="306">
        <f>simulador_1!K85</f>
        <v>554.81847222222234</v>
      </c>
      <c r="F72" s="306">
        <f>simulador_1!N85</f>
        <v>106.42310972222222</v>
      </c>
      <c r="G72" s="306">
        <f>simulador_1!T85</f>
        <v>8.41</v>
      </c>
      <c r="H72" s="306">
        <f>simulador_1!P85</f>
        <v>10</v>
      </c>
      <c r="I72" s="307">
        <f>simulador_1!U85</f>
        <v>679.6515819444445</v>
      </c>
    </row>
    <row r="73" spans="3:9" x14ac:dyDescent="0.3">
      <c r="C73" s="304">
        <f>simulador_1!E86</f>
        <v>54</v>
      </c>
      <c r="D73" s="305">
        <f>simulador_1!J86</f>
        <v>11456.25</v>
      </c>
      <c r="E73" s="306">
        <f>simulador_1!K86</f>
        <v>548.57847222222233</v>
      </c>
      <c r="F73" s="306">
        <f>simulador_1!N86</f>
        <v>112.19310972222222</v>
      </c>
      <c r="G73" s="306">
        <f>simulador_1!T86</f>
        <v>8.8800000000000008</v>
      </c>
      <c r="H73" s="306">
        <f>simulador_1!P86</f>
        <v>10</v>
      </c>
      <c r="I73" s="307">
        <f>simulador_1!U86</f>
        <v>679.6515819444445</v>
      </c>
    </row>
    <row r="74" spans="3:9" x14ac:dyDescent="0.3">
      <c r="C74" s="304">
        <f>simulador_1!E87</f>
        <v>55</v>
      </c>
      <c r="D74" s="305">
        <f>simulador_1!J87</f>
        <v>10907.67</v>
      </c>
      <c r="E74" s="306">
        <f>simulador_1!K87</f>
        <v>557.76847222222239</v>
      </c>
      <c r="F74" s="306">
        <f>simulador_1!N87</f>
        <v>103.70310972222222</v>
      </c>
      <c r="G74" s="306">
        <f>simulador_1!T87</f>
        <v>8.18</v>
      </c>
      <c r="H74" s="306">
        <f>simulador_1!P87</f>
        <v>10</v>
      </c>
      <c r="I74" s="307">
        <f>simulador_1!U87</f>
        <v>679.6515819444445</v>
      </c>
    </row>
    <row r="75" spans="3:9" x14ac:dyDescent="0.3">
      <c r="C75" s="304">
        <f>simulador_1!E88</f>
        <v>56</v>
      </c>
      <c r="D75" s="305">
        <f>simulador_1!J88</f>
        <v>10349.9</v>
      </c>
      <c r="E75" s="306">
        <f>simulador_1!K88</f>
        <v>559.8584722222223</v>
      </c>
      <c r="F75" s="306">
        <f>simulador_1!N88</f>
        <v>101.77310972222222</v>
      </c>
      <c r="G75" s="306">
        <f>simulador_1!T88</f>
        <v>8.02</v>
      </c>
      <c r="H75" s="306">
        <f>simulador_1!P88</f>
        <v>10</v>
      </c>
      <c r="I75" s="307">
        <f>simulador_1!U88</f>
        <v>679.6515819444445</v>
      </c>
    </row>
    <row r="76" spans="3:9" x14ac:dyDescent="0.3">
      <c r="C76" s="304">
        <f>simulador_1!E89</f>
        <v>57</v>
      </c>
      <c r="D76" s="305">
        <f>simulador_1!J89</f>
        <v>9790.0400000000009</v>
      </c>
      <c r="E76" s="306">
        <f>simulador_1!K89</f>
        <v>568.79847222222224</v>
      </c>
      <c r="F76" s="306">
        <f>simulador_1!N89</f>
        <v>93.513109722222211</v>
      </c>
      <c r="G76" s="306">
        <f>simulador_1!T89</f>
        <v>7.34</v>
      </c>
      <c r="H76" s="306">
        <f>simulador_1!P89</f>
        <v>10</v>
      </c>
      <c r="I76" s="307">
        <f>simulador_1!U89</f>
        <v>679.6515819444445</v>
      </c>
    </row>
    <row r="77" spans="3:9" x14ac:dyDescent="0.3">
      <c r="C77" s="304">
        <f>simulador_1!E90</f>
        <v>58</v>
      </c>
      <c r="D77" s="305">
        <f>simulador_1!J90</f>
        <v>9221.24</v>
      </c>
      <c r="E77" s="306">
        <f>simulador_1!K90</f>
        <v>571.3584722222223</v>
      </c>
      <c r="F77" s="306">
        <f>simulador_1!N90</f>
        <v>91.143109722222221</v>
      </c>
      <c r="G77" s="306">
        <f>simulador_1!T90</f>
        <v>7.15</v>
      </c>
      <c r="H77" s="306">
        <f>simulador_1!P90</f>
        <v>10</v>
      </c>
      <c r="I77" s="307">
        <f>simulador_1!U90</f>
        <v>679.6515819444445</v>
      </c>
    </row>
    <row r="78" spans="3:9" x14ac:dyDescent="0.3">
      <c r="C78" s="304">
        <f>simulador_1!E91</f>
        <v>59</v>
      </c>
      <c r="D78" s="305">
        <f>simulador_1!J91</f>
        <v>8649.8799999999992</v>
      </c>
      <c r="E78" s="306">
        <f>simulador_1!K91</f>
        <v>577.18847222222223</v>
      </c>
      <c r="F78" s="306">
        <f>simulador_1!N91</f>
        <v>85.763109722222211</v>
      </c>
      <c r="G78" s="306">
        <f>simulador_1!T91</f>
        <v>6.7</v>
      </c>
      <c r="H78" s="306">
        <f>simulador_1!P91</f>
        <v>10</v>
      </c>
      <c r="I78" s="307">
        <f>simulador_1!U91</f>
        <v>679.6515819444445</v>
      </c>
    </row>
    <row r="79" spans="3:9" x14ac:dyDescent="0.3">
      <c r="C79" s="304">
        <f>simulador_1!E92</f>
        <v>60</v>
      </c>
      <c r="D79" s="305">
        <f>simulador_1!J92</f>
        <v>8072.69</v>
      </c>
      <c r="E79" s="306">
        <f>simulador_1!K92</f>
        <v>585.7384722222223</v>
      </c>
      <c r="F79" s="306">
        <f>simulador_1!N92</f>
        <v>77.863109722222219</v>
      </c>
      <c r="G79" s="306">
        <f>simulador_1!T92</f>
        <v>6.05</v>
      </c>
      <c r="H79" s="306">
        <f>simulador_1!P92</f>
        <v>10</v>
      </c>
      <c r="I79" s="307">
        <f>simulador_1!U92</f>
        <v>679.65158194444439</v>
      </c>
    </row>
    <row r="80" spans="3:9" x14ac:dyDescent="0.3">
      <c r="C80" s="304">
        <f>simulador_1!E93</f>
        <v>61</v>
      </c>
      <c r="D80" s="305">
        <f>simulador_1!J93</f>
        <v>7486.95</v>
      </c>
      <c r="E80" s="306">
        <f>simulador_1!K93</f>
        <v>589.03847222222237</v>
      </c>
      <c r="F80" s="306">
        <f>simulador_1!N93</f>
        <v>74.813109722222222</v>
      </c>
      <c r="G80" s="306">
        <f>simulador_1!T93</f>
        <v>5.8</v>
      </c>
      <c r="H80" s="306">
        <f>simulador_1!P93</f>
        <v>10</v>
      </c>
      <c r="I80" s="307">
        <f>simulador_1!U93</f>
        <v>679.6515819444445</v>
      </c>
    </row>
    <row r="81" spans="3:9" x14ac:dyDescent="0.3">
      <c r="C81" s="304">
        <f>simulador_1!E94</f>
        <v>62</v>
      </c>
      <c r="D81" s="305">
        <f>simulador_1!J94</f>
        <v>6897.91</v>
      </c>
      <c r="E81" s="306">
        <f>simulador_1!K94</f>
        <v>597.31847222222234</v>
      </c>
      <c r="F81" s="306">
        <f>simulador_1!N94</f>
        <v>67.163109722222217</v>
      </c>
      <c r="G81" s="306">
        <f>simulador_1!T94</f>
        <v>5.17</v>
      </c>
      <c r="H81" s="306">
        <f>simulador_1!P94</f>
        <v>10</v>
      </c>
      <c r="I81" s="307">
        <f>simulador_1!U94</f>
        <v>679.6515819444445</v>
      </c>
    </row>
    <row r="82" spans="3:9" x14ac:dyDescent="0.3">
      <c r="C82" s="304">
        <f>simulador_1!E95</f>
        <v>63</v>
      </c>
      <c r="D82" s="305">
        <f>simulador_1!J95</f>
        <v>6300.59</v>
      </c>
      <c r="E82" s="306">
        <f>simulador_1!K95</f>
        <v>601.12847222222229</v>
      </c>
      <c r="F82" s="306">
        <f>simulador_1!N95</f>
        <v>63.643109722222228</v>
      </c>
      <c r="G82" s="306">
        <f>simulador_1!T95</f>
        <v>4.88</v>
      </c>
      <c r="H82" s="306">
        <f>simulador_1!P95</f>
        <v>10</v>
      </c>
      <c r="I82" s="307">
        <f>simulador_1!U95</f>
        <v>679.6515819444445</v>
      </c>
    </row>
    <row r="83" spans="3:9" x14ac:dyDescent="0.3">
      <c r="C83" s="304">
        <f>simulador_1!E96</f>
        <v>64</v>
      </c>
      <c r="D83" s="305">
        <f>simulador_1!J96</f>
        <v>5699.46</v>
      </c>
      <c r="E83" s="306">
        <f>simulador_1!K96</f>
        <v>607.2484722222224</v>
      </c>
      <c r="F83" s="306">
        <f>simulador_1!N96</f>
        <v>57.983109722222224</v>
      </c>
      <c r="G83" s="306">
        <f>simulador_1!T96</f>
        <v>4.42</v>
      </c>
      <c r="H83" s="306">
        <f>simulador_1!P96</f>
        <v>10</v>
      </c>
      <c r="I83" s="307">
        <f>simulador_1!U96</f>
        <v>679.6515819444445</v>
      </c>
    </row>
    <row r="84" spans="3:9" x14ac:dyDescent="0.3">
      <c r="C84" s="304">
        <f>simulador_1!E97</f>
        <v>65</v>
      </c>
      <c r="D84" s="305">
        <f>simulador_1!J97</f>
        <v>5092.21</v>
      </c>
      <c r="E84" s="306">
        <f>simulador_1!K97</f>
        <v>616.80847222222224</v>
      </c>
      <c r="F84" s="306">
        <f>simulador_1!N97</f>
        <v>49.153109722222226</v>
      </c>
      <c r="G84" s="306">
        <f>simulador_1!T97</f>
        <v>3.69</v>
      </c>
      <c r="H84" s="306">
        <f>simulador_1!P97</f>
        <v>10</v>
      </c>
      <c r="I84" s="307">
        <f>simulador_1!U97</f>
        <v>679.6515819444445</v>
      </c>
    </row>
    <row r="85" spans="3:9" x14ac:dyDescent="0.3">
      <c r="C85" s="304">
        <f>simulador_1!E98</f>
        <v>66</v>
      </c>
      <c r="D85" s="305">
        <f>simulador_1!J98</f>
        <v>4475.3999999999996</v>
      </c>
      <c r="E85" s="306">
        <f>simulador_1!K98</f>
        <v>619.72847222222231</v>
      </c>
      <c r="F85" s="306">
        <f>simulador_1!N98</f>
        <v>46.453109722222223</v>
      </c>
      <c r="G85" s="306">
        <f>simulador_1!T98</f>
        <v>3.47</v>
      </c>
      <c r="H85" s="306">
        <f>simulador_1!P98</f>
        <v>10</v>
      </c>
      <c r="I85" s="307">
        <f>simulador_1!U98</f>
        <v>679.6515819444445</v>
      </c>
    </row>
    <row r="86" spans="3:9" x14ac:dyDescent="0.3">
      <c r="C86" s="304">
        <f>simulador_1!E99</f>
        <v>67</v>
      </c>
      <c r="D86" s="305">
        <f>simulador_1!J99</f>
        <v>3855.67</v>
      </c>
      <c r="E86" s="306">
        <f>simulador_1!K99</f>
        <v>627.32847222222233</v>
      </c>
      <c r="F86" s="306">
        <f>simulador_1!N99</f>
        <v>39.433109722222227</v>
      </c>
      <c r="G86" s="306">
        <f>simulador_1!T99</f>
        <v>2.89</v>
      </c>
      <c r="H86" s="306">
        <f>simulador_1!P99</f>
        <v>10</v>
      </c>
      <c r="I86" s="307">
        <f>simulador_1!U99</f>
        <v>679.6515819444445</v>
      </c>
    </row>
    <row r="87" spans="3:9" x14ac:dyDescent="0.3">
      <c r="C87" s="304">
        <f>simulador_1!E100</f>
        <v>68</v>
      </c>
      <c r="D87" s="305">
        <f>simulador_1!J100</f>
        <v>3228.34</v>
      </c>
      <c r="E87" s="306">
        <f>simulador_1!K100</f>
        <v>632.44847222222234</v>
      </c>
      <c r="F87" s="306">
        <f>simulador_1!N100</f>
        <v>34.703109722222223</v>
      </c>
      <c r="G87" s="306">
        <f>simulador_1!T100</f>
        <v>2.5</v>
      </c>
      <c r="H87" s="306">
        <f>simulador_1!P100</f>
        <v>10</v>
      </c>
      <c r="I87" s="307">
        <f>simulador_1!U100</f>
        <v>679.6515819444445</v>
      </c>
    </row>
    <row r="88" spans="3:9" x14ac:dyDescent="0.3">
      <c r="C88" s="304">
        <f>simulador_1!E101</f>
        <v>69</v>
      </c>
      <c r="D88" s="305">
        <f>simulador_1!J101</f>
        <v>2595.89</v>
      </c>
      <c r="E88" s="306">
        <f>simulador_1!K101</f>
        <v>639.7384722222223</v>
      </c>
      <c r="F88" s="306">
        <f>simulador_1!N101</f>
        <v>27.963109722222221</v>
      </c>
      <c r="G88" s="306">
        <f>simulador_1!T101</f>
        <v>1.95</v>
      </c>
      <c r="H88" s="306">
        <f>simulador_1!P101</f>
        <v>10</v>
      </c>
      <c r="I88" s="307">
        <f>simulador_1!U101</f>
        <v>679.6515819444445</v>
      </c>
    </row>
    <row r="89" spans="3:9" x14ac:dyDescent="0.3">
      <c r="C89" s="304">
        <f>simulador_1!E102</f>
        <v>70</v>
      </c>
      <c r="D89" s="305">
        <f>simulador_1!J102</f>
        <v>1956.15</v>
      </c>
      <c r="E89" s="306">
        <f>simulador_1!K102</f>
        <v>645.40847222222237</v>
      </c>
      <c r="F89" s="306">
        <f>simulador_1!N102</f>
        <v>22.723109722222222</v>
      </c>
      <c r="G89" s="306">
        <f>simulador_1!T102</f>
        <v>1.52</v>
      </c>
      <c r="H89" s="306">
        <f>simulador_1!P102</f>
        <v>10</v>
      </c>
      <c r="I89" s="307">
        <f>simulador_1!U102</f>
        <v>679.6515819444445</v>
      </c>
    </row>
    <row r="90" spans="3:9" x14ac:dyDescent="0.3">
      <c r="C90" s="304">
        <f>simulador_1!E103</f>
        <v>71</v>
      </c>
      <c r="D90" s="305">
        <f>simulador_1!J103</f>
        <v>1310.74</v>
      </c>
      <c r="E90" s="306">
        <f>simulador_1!K103</f>
        <v>651.9884722222223</v>
      </c>
      <c r="F90" s="306">
        <f>simulador_1!N103</f>
        <v>16.643109722222221</v>
      </c>
      <c r="G90" s="306">
        <f>simulador_1!T103</f>
        <v>1.02</v>
      </c>
      <c r="H90" s="306">
        <f>simulador_1!P103</f>
        <v>10</v>
      </c>
      <c r="I90" s="307">
        <f>simulador_1!U103</f>
        <v>679.6515819444445</v>
      </c>
    </row>
    <row r="91" spans="3:9" x14ac:dyDescent="0.3">
      <c r="C91" s="304">
        <f>simulador_1!E104</f>
        <v>72</v>
      </c>
      <c r="D91" s="305">
        <f>simulador_1!J104</f>
        <v>658.75</v>
      </c>
      <c r="E91" s="306">
        <f>simulador_1!K104</f>
        <v>658.8584722222223</v>
      </c>
      <c r="F91" s="306">
        <f>simulador_1!N104</f>
        <v>10.303109722222221</v>
      </c>
      <c r="G91" s="306">
        <f>simulador_1!T104</f>
        <v>0.49</v>
      </c>
      <c r="H91" s="306">
        <f>simulador_1!P104</f>
        <v>10</v>
      </c>
      <c r="I91" s="307">
        <f>simulador_1!U104</f>
        <v>679.6515819444445</v>
      </c>
    </row>
    <row r="92" spans="3:9" x14ac:dyDescent="0.3"/>
    <row r="93" spans="3:9" x14ac:dyDescent="0.3"/>
    <row r="94" spans="3:9" x14ac:dyDescent="0.3"/>
    <row r="95" spans="3:9" x14ac:dyDescent="0.3"/>
    <row r="96" spans="3:9" x14ac:dyDescent="0.3"/>
    <row r="97" x14ac:dyDescent="0.3"/>
    <row r="98" x14ac:dyDescent="0.3"/>
    <row r="99" x14ac:dyDescent="0.3"/>
    <row r="100" x14ac:dyDescent="0.3"/>
  </sheetData>
  <sheetProtection algorithmName="SHA-512" hashValue="z6UUNLF5/px5tVcymCWCNtRS+OV6CxS7WvGlzWdM5V6s8PnAEWHvd41pXXiuaWEKzNn+FZZW4vHrh3NGxrYu6Q==" saltValue="BEaGhO86MFilSd53fxQjxA==" spinCount="100000" sheet="1" objects="1" scenarios="1"/>
  <mergeCells count="1">
    <mergeCell ref="C3:I4"/>
  </mergeCells>
  <pageMargins left="0.7" right="0.7" top="0.75" bottom="0.75" header="0.3" footer="0.3"/>
  <pageSetup orientation="portrait" horizontalDpi="360" verticalDpi="360" r:id="rId1"/>
  <headerFooter>
    <oddFooter>&amp;C_x000D_&amp;1#&amp;"Calibri"&amp;8&amp;K000000 Información Interna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A2B7B-E775-4FA2-BFA5-2343AE6DC221}">
  <sheetPr codeName="Hoja2">
    <tabColor theme="0" tint="-0.249977111117893"/>
  </sheetPr>
  <dimension ref="A2:AI109"/>
  <sheetViews>
    <sheetView showGridLines="0" topLeftCell="F1" zoomScale="80" zoomScaleNormal="80" workbookViewId="0">
      <selection activeCell="K31" sqref="K31"/>
    </sheetView>
  </sheetViews>
  <sheetFormatPr baseColWidth="10" defaultColWidth="11.44140625" defaultRowHeight="10.199999999999999" outlineLevelRow="1" x14ac:dyDescent="0.2"/>
  <cols>
    <col min="1" max="2" width="3.33203125" style="4" customWidth="1"/>
    <col min="3" max="3" width="15.6640625" style="4" customWidth="1"/>
    <col min="4" max="4" width="6.44140625" style="4" bestFit="1" customWidth="1"/>
    <col min="5" max="5" width="12.33203125" style="4" customWidth="1"/>
    <col min="6" max="6" width="11" style="4" bestFit="1" customWidth="1"/>
    <col min="7" max="7" width="12.6640625" style="4" customWidth="1"/>
    <col min="8" max="9" width="13.33203125" style="4" customWidth="1"/>
    <col min="10" max="10" width="10.5546875" style="4" customWidth="1"/>
    <col min="11" max="11" width="11.33203125" style="4" customWidth="1"/>
    <col min="12" max="12" width="12" style="4" customWidth="1"/>
    <col min="13" max="13" width="11.33203125" style="4" customWidth="1"/>
    <col min="14" max="14" width="9.5546875" style="4" customWidth="1"/>
    <col min="15" max="15" width="11.5546875" style="4" customWidth="1"/>
    <col min="16" max="16" width="12.33203125" style="4" customWidth="1"/>
    <col min="17" max="17" width="14.5546875" style="4" customWidth="1"/>
    <col min="18" max="20" width="13.6640625" style="4" customWidth="1"/>
    <col min="21" max="21" width="11" style="4" customWidth="1"/>
    <col min="22" max="22" width="10.33203125" style="4" bestFit="1" customWidth="1"/>
    <col min="23" max="23" width="13.6640625" style="4" customWidth="1"/>
    <col min="24" max="24" width="10.5546875" style="4" customWidth="1"/>
    <col min="25" max="25" width="9.5546875" style="4" customWidth="1"/>
    <col min="26" max="26" width="14.6640625" style="4" customWidth="1"/>
    <col min="27" max="27" width="14.44140625" style="4" customWidth="1"/>
    <col min="28" max="32" width="11.44140625" style="4"/>
    <col min="33" max="33" width="2.6640625" style="4" customWidth="1"/>
    <col min="34" max="16384" width="11.44140625" style="4"/>
  </cols>
  <sheetData>
    <row r="2" spans="3:23" ht="23.25" customHeight="1" x14ac:dyDescent="0.2">
      <c r="C2" s="316" t="s">
        <v>81</v>
      </c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</row>
    <row r="3" spans="3:23" ht="26.25" customHeight="1" x14ac:dyDescent="0.2"/>
    <row r="5" spans="3:23" ht="13.8" x14ac:dyDescent="0.3">
      <c r="C5" s="30" t="s">
        <v>19</v>
      </c>
      <c r="D5" s="31"/>
      <c r="E5" s="32"/>
      <c r="F5" s="32"/>
      <c r="G5" s="32"/>
      <c r="H5" s="74">
        <f>simulador!G7</f>
        <v>34000</v>
      </c>
      <c r="L5" s="40" t="s">
        <v>55</v>
      </c>
      <c r="M5" s="41"/>
      <c r="N5" s="41"/>
      <c r="O5" s="42"/>
      <c r="P5" s="42"/>
      <c r="Q5" s="75">
        <v>44809</v>
      </c>
      <c r="R5" s="76"/>
      <c r="S5" s="296"/>
    </row>
    <row r="6" spans="3:23" ht="13.8" x14ac:dyDescent="0.3">
      <c r="C6" s="33" t="s">
        <v>20</v>
      </c>
      <c r="D6" s="27"/>
      <c r="E6" s="28"/>
      <c r="F6" s="28"/>
      <c r="G6" s="28"/>
      <c r="H6" s="77">
        <f>H5</f>
        <v>34000</v>
      </c>
      <c r="L6" s="35" t="s">
        <v>24</v>
      </c>
      <c r="M6" s="29"/>
      <c r="N6" s="29"/>
      <c r="O6" s="78"/>
      <c r="P6" s="78"/>
      <c r="Q6" s="286">
        <f>DATE(YEAR(Q5+H14),MONTH(Q5 + H14),DAY(Q5 +H14))</f>
        <v>44839</v>
      </c>
      <c r="R6" s="7"/>
    </row>
    <row r="7" spans="3:23" ht="13.8" x14ac:dyDescent="0.3">
      <c r="C7" s="33" t="s">
        <v>21</v>
      </c>
      <c r="D7" s="27"/>
      <c r="E7" s="28"/>
      <c r="F7" s="28"/>
      <c r="G7" s="28"/>
      <c r="H7" s="77">
        <v>0</v>
      </c>
      <c r="L7" s="33" t="s">
        <v>25</v>
      </c>
      <c r="M7" s="27"/>
      <c r="N7" s="27"/>
      <c r="O7" s="43"/>
      <c r="P7" s="43"/>
      <c r="Q7" s="45">
        <f>DATE(YEAR(EDATE(Q6,1)),MONTH(EDATE(Q6,1)),DAY(EDATE(Q6,1)))</f>
        <v>44870</v>
      </c>
      <c r="R7" s="7"/>
      <c r="S7" s="295">
        <f>Q6-Q5</f>
        <v>30</v>
      </c>
    </row>
    <row r="8" spans="3:23" ht="13.8" x14ac:dyDescent="0.3">
      <c r="C8" s="33" t="s">
        <v>22</v>
      </c>
      <c r="D8" s="27"/>
      <c r="E8" s="28"/>
      <c r="F8" s="28"/>
      <c r="G8" s="28"/>
      <c r="H8" s="79">
        <f>simulador!G11</f>
        <v>11.5</v>
      </c>
      <c r="I8" s="80" t="s">
        <v>82</v>
      </c>
      <c r="J8" s="81">
        <f>H8</f>
        <v>11.5</v>
      </c>
      <c r="L8" s="33" t="s">
        <v>26</v>
      </c>
      <c r="M8" s="27"/>
      <c r="N8" s="27"/>
      <c r="O8" s="43"/>
      <c r="P8" s="43"/>
      <c r="Q8" s="45">
        <f>IF(OR($H$16&gt;0,$H$17&gt;0),VLOOKUP($H$12,$A$33:$C$121,3,0),DATE(YEAR(EDATE(Q6,H12)),MONTH(EDATE(Q6,H12)),DAY(EDATE(Q6,H12))))</f>
        <v>47031</v>
      </c>
      <c r="R8" s="7"/>
      <c r="S8" s="237"/>
      <c r="W8" s="13"/>
    </row>
    <row r="9" spans="3:23" ht="13.8" x14ac:dyDescent="0.3">
      <c r="C9" s="36" t="s">
        <v>83</v>
      </c>
      <c r="D9" s="37"/>
      <c r="E9" s="38"/>
      <c r="F9" s="38"/>
      <c r="G9" s="38"/>
      <c r="H9" s="82">
        <v>7.5000000000000002E-4</v>
      </c>
      <c r="L9" s="33" t="s">
        <v>9</v>
      </c>
      <c r="M9" s="27"/>
      <c r="N9" s="27"/>
      <c r="O9" s="43"/>
      <c r="P9" s="43"/>
      <c r="Q9" s="46">
        <v>360</v>
      </c>
      <c r="R9" s="5"/>
      <c r="S9" s="9"/>
    </row>
    <row r="10" spans="3:23" ht="13.8" x14ac:dyDescent="0.3">
      <c r="L10" s="36" t="s">
        <v>27</v>
      </c>
      <c r="M10" s="37"/>
      <c r="N10" s="37"/>
      <c r="O10" s="51"/>
      <c r="P10" s="51"/>
      <c r="Q10" s="52">
        <v>30</v>
      </c>
      <c r="R10" s="5"/>
    </row>
    <row r="11" spans="3:23" ht="13.8" x14ac:dyDescent="0.3">
      <c r="C11" s="59" t="s">
        <v>84</v>
      </c>
      <c r="D11" s="83"/>
      <c r="E11" s="84"/>
      <c r="F11" s="84"/>
      <c r="G11" s="84"/>
      <c r="H11" s="85">
        <f>simulador!G13</f>
        <v>10</v>
      </c>
      <c r="L11" s="33" t="s">
        <v>85</v>
      </c>
      <c r="M11" s="27"/>
      <c r="N11" s="27"/>
      <c r="O11" s="43"/>
      <c r="P11" s="43"/>
      <c r="Q11" s="47">
        <f>ROUND((((H8/100+1)^(1/(Q9/Q10))-1)*Q9/Q10)*100,6)</f>
        <v>10.934962000000001</v>
      </c>
      <c r="R11" s="10" t="s">
        <v>39</v>
      </c>
    </row>
    <row r="12" spans="3:23" ht="13.8" x14ac:dyDescent="0.3">
      <c r="C12" s="33" t="s">
        <v>111</v>
      </c>
      <c r="D12" s="27"/>
      <c r="E12" s="28"/>
      <c r="F12" s="28"/>
      <c r="G12" s="28"/>
      <c r="H12" s="254">
        <f>+H13-VLOOKUP($H$13,'Calculos CC'!$A$4:$H$99,8,0)</f>
        <v>72</v>
      </c>
      <c r="I12" s="87">
        <f>+H12</f>
        <v>72</v>
      </c>
      <c r="L12" s="33" t="s">
        <v>28</v>
      </c>
      <c r="M12" s="27"/>
      <c r="N12" s="27"/>
      <c r="O12" s="43"/>
      <c r="P12" s="43"/>
      <c r="Q12" s="86">
        <f>(Q8-Q6)/H12</f>
        <v>30.444444444444443</v>
      </c>
      <c r="R12" s="10" t="s">
        <v>41</v>
      </c>
    </row>
    <row r="13" spans="3:23" ht="13.8" x14ac:dyDescent="0.3">
      <c r="C13" s="33" t="s">
        <v>51</v>
      </c>
      <c r="D13" s="29"/>
      <c r="E13" s="28"/>
      <c r="F13" s="28"/>
      <c r="G13" s="28"/>
      <c r="H13" s="88">
        <f>simulador!G12</f>
        <v>72</v>
      </c>
      <c r="I13" s="251"/>
      <c r="L13" s="33" t="s">
        <v>86</v>
      </c>
      <c r="M13" s="27"/>
      <c r="N13" s="27"/>
      <c r="O13" s="27"/>
      <c r="P13" s="27"/>
      <c r="Q13" s="48">
        <f>($Q$11/100)/($Q$9/$Q$12)</f>
        <v>9.24746786419753E-3</v>
      </c>
      <c r="R13" s="11" t="s">
        <v>40</v>
      </c>
    </row>
    <row r="14" spans="3:23" ht="13.8" x14ac:dyDescent="0.3">
      <c r="C14" s="33" t="s">
        <v>23</v>
      </c>
      <c r="D14" s="27"/>
      <c r="E14" s="28"/>
      <c r="F14" s="28"/>
      <c r="G14" s="28"/>
      <c r="H14" s="88">
        <f>simulador!G9</f>
        <v>30</v>
      </c>
      <c r="L14" s="33" t="s">
        <v>87</v>
      </c>
      <c r="M14" s="27"/>
      <c r="N14" s="27"/>
      <c r="O14" s="27"/>
      <c r="P14" s="27"/>
      <c r="Q14" s="48">
        <f>1/((1-((1+$Q$13)^(-1*$H$12)))/$Q$13)</f>
        <v>1.9083778593885367E-2</v>
      </c>
      <c r="R14" s="12" t="s">
        <v>42</v>
      </c>
    </row>
    <row r="15" spans="3:23" ht="13.8" x14ac:dyDescent="0.3">
      <c r="C15" s="33" t="s">
        <v>88</v>
      </c>
      <c r="D15" s="29"/>
      <c r="E15" s="28"/>
      <c r="F15" s="28"/>
      <c r="G15" s="28"/>
      <c r="H15" s="89"/>
      <c r="L15" s="35" t="s">
        <v>89</v>
      </c>
      <c r="M15" s="29"/>
      <c r="N15" s="29"/>
      <c r="O15" s="29"/>
      <c r="P15" s="29"/>
      <c r="Q15" s="49">
        <f>IF(H14&gt;0,ROUND(H6*(((1+H8/100)^(ABS(H14)/Q9))-1),4),ROUND(H6*(((1+H8/100)^(ABS(H14)/Q9))-1),4) * -1)</f>
        <v>309.82389999999998</v>
      </c>
      <c r="R15" s="6" t="s">
        <v>43</v>
      </c>
    </row>
    <row r="16" spans="3:23" ht="13.8" x14ac:dyDescent="0.3">
      <c r="C16" s="33" t="s">
        <v>10</v>
      </c>
      <c r="D16" s="29"/>
      <c r="E16" s="28"/>
      <c r="F16" s="28"/>
      <c r="G16" s="28"/>
      <c r="H16" s="88">
        <v>0</v>
      </c>
      <c r="L16" s="33" t="s">
        <v>29</v>
      </c>
      <c r="M16" s="27"/>
      <c r="N16" s="27"/>
      <c r="O16" s="43"/>
      <c r="P16" s="43"/>
      <c r="Q16" s="50">
        <f>IF(H7 + Q15&gt;0,H7+ Q15,0)</f>
        <v>309.82389999999998</v>
      </c>
    </row>
    <row r="17" spans="3:35" ht="13.8" x14ac:dyDescent="0.3">
      <c r="C17" s="33" t="s">
        <v>11</v>
      </c>
      <c r="D17" s="27"/>
      <c r="E17" s="28"/>
      <c r="F17" s="28"/>
      <c r="G17" s="28"/>
      <c r="H17" s="88">
        <v>0</v>
      </c>
      <c r="I17" s="136"/>
      <c r="L17" s="33" t="s">
        <v>67</v>
      </c>
      <c r="M17" s="27"/>
      <c r="N17" s="27"/>
      <c r="O17" s="43"/>
      <c r="P17" s="43"/>
      <c r="Q17" s="90">
        <f>+$AI$31</f>
        <v>0.12988039748306135</v>
      </c>
    </row>
    <row r="18" spans="3:35" ht="13.8" x14ac:dyDescent="0.3">
      <c r="C18" s="33" t="s">
        <v>46</v>
      </c>
      <c r="D18" s="29"/>
      <c r="E18" s="28"/>
      <c r="F18" s="28"/>
      <c r="G18" s="28"/>
      <c r="H18" s="88">
        <v>0</v>
      </c>
      <c r="L18" s="91" t="s">
        <v>90</v>
      </c>
      <c r="M18" s="44"/>
      <c r="N18" s="44"/>
      <c r="O18" s="44"/>
      <c r="P18" s="44"/>
      <c r="Q18" s="92">
        <f>IF(H14&gt;0,ROUNDDOWN(H5 * H9/30*H14,2),0)</f>
        <v>25.5</v>
      </c>
      <c r="S18" s="93"/>
    </row>
    <row r="19" spans="3:35" ht="13.8" x14ac:dyDescent="0.3">
      <c r="C19" s="36" t="s">
        <v>47</v>
      </c>
      <c r="D19" s="37"/>
      <c r="E19" s="38"/>
      <c r="F19" s="38"/>
      <c r="G19" s="38" t="s">
        <v>52</v>
      </c>
      <c r="H19" s="94">
        <v>0</v>
      </c>
    </row>
    <row r="20" spans="3:35" ht="13.8" x14ac:dyDescent="0.3">
      <c r="C20" s="5"/>
      <c r="D20" s="5"/>
      <c r="E20" s="6"/>
      <c r="F20" s="6"/>
      <c r="G20" s="6"/>
      <c r="H20" s="95"/>
      <c r="J20" s="96" t="s">
        <v>91</v>
      </c>
    </row>
    <row r="21" spans="3:35" ht="13.5" customHeight="1" x14ac:dyDescent="0.3">
      <c r="C21" s="5"/>
      <c r="D21" s="5"/>
      <c r="E21" s="6"/>
      <c r="F21" s="6"/>
      <c r="G21" s="5"/>
      <c r="H21" s="1"/>
      <c r="J21" s="317" t="s">
        <v>92</v>
      </c>
      <c r="K21" s="317" t="s">
        <v>93</v>
      </c>
      <c r="O21" s="97" t="s">
        <v>48</v>
      </c>
      <c r="R21" s="3"/>
      <c r="U21" s="61" t="s">
        <v>68</v>
      </c>
    </row>
    <row r="22" spans="3:35" ht="13.8" x14ac:dyDescent="0.3">
      <c r="C22" s="5"/>
      <c r="D22" s="5"/>
      <c r="E22" s="53"/>
      <c r="F22" s="53"/>
      <c r="G22" s="53"/>
      <c r="H22" s="53"/>
      <c r="I22" s="54"/>
      <c r="J22" s="318" t="s">
        <v>92</v>
      </c>
      <c r="K22" s="318"/>
      <c r="O22" s="98" t="s">
        <v>34</v>
      </c>
      <c r="P22" s="99"/>
      <c r="Q22" s="291">
        <f>VLOOKUP(I12,$F$32:$V$104,17,FALSE) - VLOOKUP(I12,$F$32:$R$104,13,FALSE)</f>
        <v>-0.11</v>
      </c>
      <c r="R22" s="3"/>
      <c r="U22" s="30" t="s">
        <v>69</v>
      </c>
      <c r="V22" s="42"/>
      <c r="W22" s="100">
        <f>+VLOOKUP("",$D$33:$U$104,18,0)</f>
        <v>679.6515819444445</v>
      </c>
    </row>
    <row r="23" spans="3:35" ht="13.8" x14ac:dyDescent="0.3">
      <c r="C23" s="5"/>
      <c r="D23" s="5"/>
      <c r="E23" s="15"/>
      <c r="F23" s="15"/>
      <c r="G23" s="101" t="s">
        <v>30</v>
      </c>
      <c r="H23" s="102"/>
      <c r="I23" s="102"/>
      <c r="J23" s="57">
        <f>$Q$16/($I$12*(1/((1+0)^($Q$10/$Q$9))))</f>
        <v>4.3031097222222217</v>
      </c>
      <c r="K23" s="57">
        <f ca="1">Q16/SUM(AA33:INDIRECT(CONCATENATE("V",32+I12-1)))</f>
        <v>2.1460929557551211E-4</v>
      </c>
      <c r="L23" s="13">
        <f>+J24+Q28</f>
        <v>665.34847222222231</v>
      </c>
      <c r="M23" s="13"/>
      <c r="N23" s="13"/>
      <c r="O23" s="33" t="s">
        <v>35</v>
      </c>
      <c r="P23" s="43"/>
      <c r="Q23" s="103">
        <f>Q8-Q6</f>
        <v>2192</v>
      </c>
      <c r="R23" s="3"/>
      <c r="U23" s="33" t="s">
        <v>74</v>
      </c>
      <c r="V23" s="43"/>
      <c r="W23" s="104" t="str">
        <f>+IFERROR(VLOOKUP("D",$D$33:$U$104,18,0)," ")</f>
        <v xml:space="preserve"> </v>
      </c>
    </row>
    <row r="24" spans="3:35" ht="13.8" x14ac:dyDescent="0.3">
      <c r="C24" s="5"/>
      <c r="D24" s="5"/>
      <c r="E24" s="15"/>
      <c r="F24" s="15"/>
      <c r="G24" s="101" t="s">
        <v>31</v>
      </c>
      <c r="H24" s="102"/>
      <c r="I24" s="102"/>
      <c r="J24" s="57">
        <f>ROUND(IF(OR(H16 + H17 &gt; 0,H18 + H19&gt;0), ROUNDUP(H6/VLOOKUP(H12,'Calculos CC'!$B$3:$G$99,6,FALSE),2),H6*$Q$14),2)+R33+S33+Q33</f>
        <v>699.85</v>
      </c>
      <c r="K24" s="102"/>
      <c r="L24" s="6" t="s">
        <v>94</v>
      </c>
      <c r="O24" s="33" t="s">
        <v>36</v>
      </c>
      <c r="P24" s="43"/>
      <c r="Q24" s="103">
        <f>ROUND(+Q22/ROUND(1*(((1+H8/100)^(Q23/Q9))-1),4),2)</f>
        <v>-0.12</v>
      </c>
      <c r="R24" s="3"/>
      <c r="S24" s="13"/>
      <c r="U24" s="36" t="s">
        <v>70</v>
      </c>
      <c r="V24" s="51"/>
      <c r="W24" s="105" t="str">
        <f>+IFERROR(W23/W22," ")</f>
        <v xml:space="preserve"> </v>
      </c>
    </row>
    <row r="25" spans="3:35" ht="13.8" x14ac:dyDescent="0.3">
      <c r="C25" s="7"/>
      <c r="D25" s="7"/>
      <c r="E25" s="15"/>
      <c r="F25" s="15"/>
      <c r="G25" s="101" t="s">
        <v>33</v>
      </c>
      <c r="H25" s="102"/>
      <c r="I25" s="102"/>
      <c r="J25" s="57">
        <f>ROUNDDOWN($H$5*$H$9,2)</f>
        <v>25.5</v>
      </c>
      <c r="K25" s="57">
        <f>((J25*H12) + Q18)/H12</f>
        <v>25.854166666666668</v>
      </c>
      <c r="L25" s="106">
        <f>K25-J25</f>
        <v>0.35416666666666785</v>
      </c>
      <c r="M25" s="5" t="s">
        <v>95</v>
      </c>
      <c r="N25" s="13"/>
      <c r="O25" s="107" t="s">
        <v>37</v>
      </c>
      <c r="P25" s="108"/>
      <c r="Q25" s="290">
        <f>Q24*Q14</f>
        <v>-2.2900534312662439E-3</v>
      </c>
      <c r="R25" s="3"/>
    </row>
    <row r="26" spans="3:35" ht="13.8" x14ac:dyDescent="0.3">
      <c r="C26" s="17"/>
      <c r="D26" s="17"/>
      <c r="E26" s="15"/>
      <c r="F26" s="15"/>
      <c r="G26" s="101" t="s">
        <v>96</v>
      </c>
      <c r="H26" s="102"/>
      <c r="I26" s="102"/>
      <c r="J26" s="57">
        <f>$H$11</f>
        <v>10</v>
      </c>
      <c r="K26" s="102"/>
      <c r="L26" s="13"/>
      <c r="O26" s="33" t="s">
        <v>38</v>
      </c>
      <c r="P26" s="34"/>
      <c r="Q26" s="103">
        <f>SUM(W33:W104)</f>
        <v>0</v>
      </c>
      <c r="R26" s="109">
        <f>ROUND(IF(H16+ H17&gt; 0,ROUNDUP($Q$26/VLOOKUP(H12,'Calculos CC'!$A$3:$G$99,7,FALSE),2),$Q$26*$Q$14),2)</f>
        <v>0</v>
      </c>
      <c r="S26" s="109">
        <v>0</v>
      </c>
      <c r="T26" s="13"/>
      <c r="U26" s="61" t="s">
        <v>71</v>
      </c>
    </row>
    <row r="27" spans="3:35" ht="13.8" x14ac:dyDescent="0.3">
      <c r="C27" s="5"/>
      <c r="D27" s="5"/>
      <c r="E27" s="15"/>
      <c r="F27" s="15"/>
      <c r="G27" s="110"/>
      <c r="H27" s="111"/>
      <c r="I27" s="111"/>
      <c r="J27" s="111"/>
      <c r="K27" s="112"/>
      <c r="L27" s="13"/>
      <c r="M27" s="13"/>
      <c r="N27" s="13"/>
      <c r="O27" s="248" t="s">
        <v>110</v>
      </c>
      <c r="P27" s="249"/>
      <c r="Q27" s="289">
        <f>+Q22/H12</f>
        <v>-1.5277777777777779E-3</v>
      </c>
      <c r="R27" s="3"/>
      <c r="U27" s="62" t="s">
        <v>72</v>
      </c>
      <c r="V27" s="63"/>
      <c r="W27" s="113">
        <f>+SUM($K$33:$K$92)</f>
        <v>26512.958333333343</v>
      </c>
    </row>
    <row r="28" spans="3:35" ht="42" customHeight="1" x14ac:dyDescent="0.3">
      <c r="E28" s="15"/>
      <c r="F28" s="15"/>
      <c r="G28" s="55" t="s">
        <v>32</v>
      </c>
      <c r="H28" s="56"/>
      <c r="I28" s="56"/>
      <c r="J28" s="57">
        <f>J23+J24+J25+J26</f>
        <v>739.65310972222221</v>
      </c>
      <c r="K28" s="57">
        <f>J23+J24+K25+J26</f>
        <v>740.00727638888884</v>
      </c>
      <c r="L28" s="18"/>
      <c r="M28" s="18"/>
      <c r="N28" s="18"/>
      <c r="O28" s="319" t="s">
        <v>97</v>
      </c>
      <c r="P28" s="320"/>
      <c r="Q28" s="294">
        <v>-34.501527777777667</v>
      </c>
      <c r="R28" s="73" t="s">
        <v>98</v>
      </c>
      <c r="S28" s="73"/>
      <c r="T28" s="93"/>
      <c r="U28" s="64" t="s">
        <v>63</v>
      </c>
      <c r="V28" s="65"/>
      <c r="W28" s="114">
        <f>+$H$5-W27</f>
        <v>7487.041666666657</v>
      </c>
      <c r="Z28" s="66" t="s">
        <v>73</v>
      </c>
    </row>
    <row r="29" spans="3:35" ht="13.8" x14ac:dyDescent="0.3">
      <c r="C29" s="5"/>
      <c r="D29" s="5"/>
      <c r="E29" s="15"/>
      <c r="F29" s="15"/>
      <c r="G29" s="15"/>
      <c r="H29" s="15">
        <f>+MONTH(DATE(YEAR(C39) + 1/12,MONTH(C39)+1,DAY(C39)))</f>
        <v>6</v>
      </c>
      <c r="I29" s="15">
        <v>1</v>
      </c>
      <c r="J29" s="15">
        <v>2</v>
      </c>
      <c r="K29" s="15"/>
      <c r="L29" s="19"/>
      <c r="M29" s="19"/>
      <c r="N29" s="19"/>
      <c r="O29" s="3"/>
      <c r="P29" s="3"/>
      <c r="Q29" s="3"/>
      <c r="R29" s="3"/>
      <c r="S29" s="115"/>
    </row>
    <row r="30" spans="3:35" ht="13.8" x14ac:dyDescent="0.3">
      <c r="C30" s="5"/>
      <c r="D30" s="5"/>
      <c r="E30" s="15"/>
      <c r="F30" s="15"/>
      <c r="G30" s="287"/>
      <c r="H30" s="287"/>
      <c r="I30" s="15">
        <v>2</v>
      </c>
      <c r="J30" s="15">
        <v>3</v>
      </c>
      <c r="K30" s="15" t="b">
        <f>+MONTH(DATE(YEAR(C39),MONTH(C39)+1,DAY(C39)))=$H$16</f>
        <v>0</v>
      </c>
      <c r="L30" s="19"/>
      <c r="M30" s="298">
        <f>IF(OR(MONTH(Q7)=H16, MONTH(Q7)=H17),IF(AND(ABS($H$16-$H$17)&gt;1,OR(MONTH($Q$7)=$H$16,MONTH($Q$7)=$H$17)),2,IF(AND(ABS($H$16-$H$17)=1,MONTH($Q$7)&gt;$H$16),2,IF(AND(ABS($H$16-$H$17)=1,MONTH($Q$7)&lt;$H$17),3,1))),1)</f>
        <v>1</v>
      </c>
      <c r="N30" s="19"/>
      <c r="O30" s="3"/>
      <c r="P30" s="3"/>
      <c r="Q30" s="3"/>
      <c r="R30" s="3"/>
      <c r="S30" s="3"/>
      <c r="T30" s="3"/>
      <c r="U30" s="3"/>
      <c r="V30" s="115"/>
    </row>
    <row r="31" spans="3:35" ht="14.4" x14ac:dyDescent="0.3">
      <c r="C31" s="116" t="s">
        <v>99</v>
      </c>
      <c r="D31" s="116"/>
      <c r="E31" s="15" t="b">
        <f>+MONTH(DATE(YEAR(C38) + 1/12,MONTH(C38)+1,DAY(C38)))=$H$16</f>
        <v>0</v>
      </c>
      <c r="F31" s="287" t="b">
        <f>+MONTH(DATE(YEAR(C38) + 1/12,MONTH(C38)+1,DAY(C38)))=$H$17</f>
        <v>0</v>
      </c>
      <c r="G31" s="287" t="b">
        <f>+ABS($H$17-$H$16)=1</f>
        <v>0</v>
      </c>
      <c r="H31" s="15"/>
      <c r="I31" s="297">
        <f>+$H$17-MONTH(Q6)</f>
        <v>-10</v>
      </c>
      <c r="J31" s="15"/>
      <c r="K31" s="54">
        <f>SUM(K33:K104)</f>
        <v>34000.000000000007</v>
      </c>
      <c r="L31" s="58">
        <f>+ROUND(J33*(((1+(H33/100))^(I33/G33))-1),4)</f>
        <v>320.19990000000001</v>
      </c>
      <c r="M31" s="58"/>
      <c r="N31" s="58"/>
      <c r="O31" s="58"/>
      <c r="P31" s="3"/>
      <c r="Q31" s="3"/>
      <c r="R31" s="3"/>
      <c r="S31" s="117"/>
      <c r="T31" s="3"/>
      <c r="U31" s="275"/>
      <c r="V31" s="13"/>
      <c r="X31" s="279">
        <f>+X33-X34</f>
        <v>13.056399999999996</v>
      </c>
      <c r="Z31" s="14" t="s">
        <v>56</v>
      </c>
      <c r="AH31" s="118" t="s">
        <v>64</v>
      </c>
      <c r="AI31" s="119">
        <f>(1+XIRR(AI32:AI104,AH32:AH104))^(360/365)-1</f>
        <v>0.12988039748306135</v>
      </c>
    </row>
    <row r="32" spans="3:35" ht="43.5" customHeight="1" x14ac:dyDescent="0.3">
      <c r="C32" s="120" t="s">
        <v>6</v>
      </c>
      <c r="D32" s="120" t="s">
        <v>54</v>
      </c>
      <c r="E32" s="120" t="s">
        <v>50</v>
      </c>
      <c r="F32" s="120" t="s">
        <v>5</v>
      </c>
      <c r="G32" s="120" t="s">
        <v>4</v>
      </c>
      <c r="H32" s="120" t="s">
        <v>1</v>
      </c>
      <c r="I32" s="120" t="s">
        <v>7</v>
      </c>
      <c r="J32" s="120" t="s">
        <v>3</v>
      </c>
      <c r="K32" s="120" t="s">
        <v>0</v>
      </c>
      <c r="L32" s="120" t="s">
        <v>2</v>
      </c>
      <c r="M32" s="120" t="s">
        <v>44</v>
      </c>
      <c r="N32" s="120" t="s">
        <v>45</v>
      </c>
      <c r="O32" s="120" t="s">
        <v>75</v>
      </c>
      <c r="P32" s="120" t="s">
        <v>100</v>
      </c>
      <c r="Q32" s="121" t="s">
        <v>101</v>
      </c>
      <c r="R32" s="121" t="s">
        <v>61</v>
      </c>
      <c r="S32" s="121" t="s">
        <v>66</v>
      </c>
      <c r="T32" s="120" t="s">
        <v>62</v>
      </c>
      <c r="U32" s="120" t="s">
        <v>32</v>
      </c>
      <c r="V32" s="120" t="s">
        <v>8</v>
      </c>
      <c r="W32" s="120" t="s">
        <v>49</v>
      </c>
      <c r="X32" s="279">
        <f>+X39-X40</f>
        <v>-6.47950000000003</v>
      </c>
      <c r="Y32" s="279"/>
      <c r="Z32" s="23" t="s">
        <v>57</v>
      </c>
      <c r="AA32" s="23" t="s">
        <v>58</v>
      </c>
      <c r="AB32" s="23" t="s">
        <v>3</v>
      </c>
      <c r="AC32" s="23" t="s">
        <v>0</v>
      </c>
      <c r="AD32" s="23" t="s">
        <v>2</v>
      </c>
      <c r="AE32" s="23" t="s">
        <v>59</v>
      </c>
      <c r="AF32" s="23" t="s">
        <v>60</v>
      </c>
      <c r="AH32" s="122">
        <f>+Q5</f>
        <v>44809</v>
      </c>
      <c r="AI32" s="123">
        <f>-H5</f>
        <v>-34000</v>
      </c>
    </row>
    <row r="33" spans="1:35" s="266" customFormat="1" ht="13.8" x14ac:dyDescent="0.3">
      <c r="A33" s="257">
        <v>1</v>
      </c>
      <c r="B33" s="257">
        <f t="shared" ref="B33:B64" si="0">IF(A33="","",IF(A33&lt;=$H$22,0,1))</f>
        <v>1</v>
      </c>
      <c r="C33" s="269">
        <f>IF(OR(MONTH(EDATE($Q$6,E33))=$H$16,MONTH(EDATE($Q$6,E33))=$H$17),IF(ABS($H$17-$H$16)=1,EDATE($Q$6,E33+2),EDATE($Q$6,E33+1)),EDATE($Q$6,E33))</f>
        <v>44870</v>
      </c>
      <c r="D33" s="270" t="str">
        <f t="shared" ref="D33:D64" si="1">IF(B33="","",IF(OR(MONTH(C33)=$H$18,MONTH(C33)=$H$19),"D",""))</f>
        <v/>
      </c>
      <c r="E33" s="271">
        <f>IF(OR(MONTH(Q7)=H16, MONTH(Q7)=H17),IF(AND(ABS($H$16-$H$17)&gt;1,OR(MONTH($Q$7)=$H$16,MONTH($Q$7)=$H$17)),2,IF(AND(ABS($H$16-$H$17)=1,MONTH($Q$7)&gt;$H$16),2,IF(AND(ABS($H$16-$H$17)=1,MONTH($Q$7)&lt;$H$17),3,1))),1)</f>
        <v>1</v>
      </c>
      <c r="F33" s="271">
        <f>1</f>
        <v>1</v>
      </c>
      <c r="G33" s="272">
        <f t="shared" ref="G33" si="2">$Q$9</f>
        <v>360</v>
      </c>
      <c r="H33" s="264">
        <f>$H$8</f>
        <v>11.5</v>
      </c>
      <c r="I33" s="271">
        <f>C33-Q6</f>
        <v>31</v>
      </c>
      <c r="J33" s="273">
        <f>H6</f>
        <v>34000</v>
      </c>
      <c r="K33" s="280">
        <f>IF(((IF(ISERROR(MATCH(MONTH(C33),$H$18:$H$19,0))=FALSE,$J$24 + $Q$28,0) + $J$24+$Q$28+$S$26)-(IF($J$24+$Q$28 + $S$26&lt;ROUND(ROUND(J33*(((1+(H33/100))^(I33/G33))-1),4),2),$J$24+$Q$28 + $S$26-0.01,IF(ROUND(ROUND(J33*(((1+(H33/100))^(I33/G33))-1),4),2)+ $S$26&gt;$J$24,$J$24+ $S$26+-0.01,ROUND(ROUND(J33*(((1+(H33/100))^(I33/G33))-1),4),2)+$S$26)))- Q33-R33-S33)&lt;0,0.01,IF(ISERROR(MATCH(MONTH(C33),$H$18:$H$19,0))=FALSE,$J$24 + $Q$28,0)+ ($J$24+$Q$28+$S$26)-(IF($J$24+$Q$28 + $S$26&lt;ROUND(ROUND(J33*(((1+(H33/100))^(I33/G33))-1),4),2),$J$24+$Q$28 + $S$26-0.01,IF(ROUND(ROUND(J33*(((1+(H33/100))^(I33/G33))-1),4),2)+ $S$26&gt;$J$24,$J$24+ $S$26+-0.01,ROUND(ROUND(J33*(((1+(H33/100))^(I33/G33))-1),4),2)+$S$26)))- Q33-R33-S33)</f>
        <v>294.14847222222232</v>
      </c>
      <c r="L33" s="264">
        <f>IF(K33=0.01,+$J$24-K33-Q33-R33-S33+$Q$28,IF($J$24+$Q$28 + $S$26&lt;ROUND(ROUND(J33*(((1+(H33/100))^(I33/G33))-1),4),2),$J$24+$Q$28 + $S$26-0.01,IF(ROUND(ROUND(J33*(((1+(H33/100))^(I33/G33))-1),4),2)+ $S$26&gt;$J$24,$J$24+ $S$26+-0.01,ROUND(ROUND(J33*(((1+(H33/100))^(I33/G33))-1),4),2)+$S$26)))</f>
        <v>320.2</v>
      </c>
      <c r="M33" s="264">
        <f t="shared" ref="M33" si="3">IF(ISERROR(MATCH(MONTH(C33),$H$18:$H$19,0))=FALSE,$J$23,0)  + $J$23</f>
        <v>4.3031097222222217</v>
      </c>
      <c r="N33" s="264">
        <f>L33+M33</f>
        <v>324.50310972222223</v>
      </c>
      <c r="O33" s="264">
        <f>K33+L33 + M33</f>
        <v>618.6515819444445</v>
      </c>
      <c r="P33" s="264">
        <f t="shared" ref="P33" si="4">$J$26</f>
        <v>10</v>
      </c>
      <c r="Q33" s="264">
        <f>IF(B33="","",ROUND($H$9*J33,2))</f>
        <v>25.5</v>
      </c>
      <c r="R33" s="276">
        <f>IF(B33="","", + ROUNDDOWN($H$5*$H$9/30*H14,2))</f>
        <v>25.5</v>
      </c>
      <c r="S33" s="277">
        <f>IF(B33="","",IF(E33-0&gt;1,ROUNDDOWN($J33*$H$9/30*(DATE(YEAR($C33),MONTH($C33)-1,DAY($C33))-Q6),2),0))</f>
        <v>0</v>
      </c>
      <c r="T33" s="264">
        <f>IF(B33="","",Q33+R33+S33)</f>
        <v>51</v>
      </c>
      <c r="U33" s="292">
        <f>IF(B33="","",O33+P33+T33+ IF(D33="D",$P33))</f>
        <v>679.6515819444445</v>
      </c>
      <c r="V33" s="273">
        <f t="shared" ref="V33:V64" si="5">IF(B33="","",ROUND(J33-K33,2))</f>
        <v>33705.85</v>
      </c>
      <c r="W33" s="273">
        <f t="shared" ref="W33:W64" si="6">IF(B33="","",IF(ROUND(ROUND(J33*(((1+(H33/100))^(I33/G33))-1),4),2) - $J$24&lt;0,0,ROUND(ROUND(J33*(((1+(H33/100))^(I33/G33))-1),4),2) - $J$24))</f>
        <v>0</v>
      </c>
      <c r="X33" s="278">
        <f>+ROUND(J33*(((1+(H33/100))^(I33/G33))-1),4)</f>
        <v>320.19990000000001</v>
      </c>
      <c r="Y33" s="278">
        <f>+L33-X33</f>
        <v>9.9999999974897946E-5</v>
      </c>
      <c r="Z33" s="271">
        <f>I33</f>
        <v>31</v>
      </c>
      <c r="AA33" s="274">
        <f>1/((1+($J$8/100))^(Z33/$Q$9))*1</f>
        <v>0.99067022124079718</v>
      </c>
      <c r="AB33" s="264">
        <f>Q16</f>
        <v>309.82389999999998</v>
      </c>
      <c r="AC33" s="264">
        <f ca="1">AE33-AD33</f>
        <v>-2.9175963628490922</v>
      </c>
      <c r="AD33" s="272">
        <f t="shared" ref="AD33:AD96" si="7">(((1+($J$8/100))^((I33)/$Q$9))-1)*AB33</f>
        <v>2.9178109721446677</v>
      </c>
      <c r="AE33" s="264">
        <f ca="1">$K$23</f>
        <v>2.1460929557551211E-4</v>
      </c>
      <c r="AF33" s="264">
        <f ca="1">AB33-AC33</f>
        <v>312.74149636284909</v>
      </c>
      <c r="AH33" s="267">
        <f t="shared" ref="AH33:AH96" si="8">+IF(C33="",0,C33)</f>
        <v>44870</v>
      </c>
      <c r="AI33" s="268">
        <f t="shared" ref="AI33:AI96" si="9">+IF(U33="",0,U33)</f>
        <v>679.6515819444445</v>
      </c>
    </row>
    <row r="34" spans="1:35" ht="13.8" x14ac:dyDescent="0.3">
      <c r="A34" s="24">
        <f t="shared" ref="A34:A65" si="10">+IF(A33&gt;=$H$12,"",A33+1)</f>
        <v>2</v>
      </c>
      <c r="B34" s="24">
        <f t="shared" si="0"/>
        <v>1</v>
      </c>
      <c r="C34" s="128">
        <f t="shared" ref="C34:C65" si="11">IF(B34="","",IF(OR(MONTH(EDATE($Q$6,E34))=$H$16,MONTH(EDATE($Q$6,E34))=$H$17),IF(ABS($H$17-$H$16)=1,EDATE($Q$6,E34+2),EDATE($Q$6,E34+1)),EDATE($Q$6,E34)))</f>
        <v>44900</v>
      </c>
      <c r="D34" s="129" t="str">
        <f t="shared" si="1"/>
        <v/>
      </c>
      <c r="E34" s="130">
        <f t="shared" ref="E34:E39" si="12">IF(B34="","",IF(OR(MONTH(DATE(YEAR(C33) + 1/12,MONTH(C33)+1,DAY(C33)))=$H$16,MONTH(DATE(YEAR(C33) + 1/12,MONTH(C33)+1,DAY(C33)))=$H$17),IF(OR(ABS($H$17-$H$16)&gt;1,$H$16=1),E33+2,E33 + 3),E33 + 1))</f>
        <v>2</v>
      </c>
      <c r="F34" s="130">
        <f t="shared" ref="F34:F65" si="13">IF(B34="","",F33+1)</f>
        <v>2</v>
      </c>
      <c r="G34" s="131">
        <f t="shared" ref="G34:G65" si="14">IF(B34="","",$Q$9)</f>
        <v>360</v>
      </c>
      <c r="H34" s="132">
        <f t="shared" ref="H34:H65" si="15">IF(B34="","",$H$8)</f>
        <v>11.5</v>
      </c>
      <c r="I34" s="130">
        <f t="shared" ref="I34:I65" si="16">IF(B34="","",C34-C33)</f>
        <v>30</v>
      </c>
      <c r="J34" s="133">
        <f t="shared" ref="J34:J65" si="17">IF(B34="","",+V33)</f>
        <v>33705.85</v>
      </c>
      <c r="K34" s="124">
        <f t="shared" ref="K34:K53" si="18">IF(((IF(ISERROR(MATCH(MONTH(C34),$H$18:$H$19,0))=FALSE,$J$24 + $Q$28,0) + $J$24+$Q$28+$S$26)-(IF($J$24+$Q$28 + $S$26&lt;ROUND(ROUND(J34*(((1+(H34/100))^(I34/G34))-1),4),2),$J$24+$Q$28 + $S$26-0.01,IF(ROUND(ROUND(J34*(((1+(H34/100))^(I34/G34))-1),4),2)+ $S$26&gt;$J$24,$J$24+ $S$26+-0.01,ROUND(ROUND(J34*(((1+(H34/100))^(I34/G34))-1),4),2)+$S$26)))- Q34-R34-S34)&lt;0,0.01,IF(ISERROR(MATCH(MONTH(C34),$H$18:$H$19,0))=FALSE,$J$24 + $Q$28,0)+ ($J$24+$Q$28+$S$26)-(IF($J$24+$Q$28 + $S$26&lt;ROUND(ROUND(J34*(((1+(H34/100))^(I34/G34))-1),4),2),$J$24+$Q$28 + $S$26-0.01,IF(ROUND(ROUND(J34*(((1+(H34/100))^(I34/G34))-1),4),2)+ $S$26&gt;$J$24,$J$24+ $S$26+-0.01,ROUND(ROUND(J34*(((1+(H34/100))^(I34/G34))-1),4),2)+$S$26)))- Q34-R34-S34)</f>
        <v>332.92847222222235</v>
      </c>
      <c r="L34" s="132">
        <f t="shared" ref="L34:L53" si="19">IF(K34=0.01,+$J$24-K34-Q34-R34-S34+$Q$28,IF($J$24+$Q$28 + $S$26&lt;ROUND(ROUND(J34*(((1+(H34/100))^(I34/G34))-1),4),2),$J$24+$Q$28 + $S$26-0.01,IF(ROUND(ROUND(J34*(((1+(H34/100))^(I34/G34))-1),4),2)+ $S$26&gt;$J$24,$J$24+ $S$26+-0.01,ROUND(ROUND(J34*(((1+(H34/100))^(I34/G34))-1),4),2)+$S$26)))</f>
        <v>307.14</v>
      </c>
      <c r="M34" s="132">
        <f t="shared" ref="M34:M65" si="20">IF(B34="","",IF(ISERROR(MATCH(MONTH(C34),$H$18:$H$19,0))=FALSE,$J$23,0)  + $J$23)</f>
        <v>4.3031097222222217</v>
      </c>
      <c r="N34" s="132">
        <f t="shared" ref="N34:N65" si="21">IF(B34="","",L34+M34)</f>
        <v>311.44310972222223</v>
      </c>
      <c r="O34" s="132">
        <f t="shared" ref="O34:O65" si="22">IF(B34="","",K34+L34 + M34)</f>
        <v>644.37158194444453</v>
      </c>
      <c r="P34" s="132">
        <f t="shared" ref="P34:P65" si="23">IF(B34="","",$J$26)</f>
        <v>10</v>
      </c>
      <c r="Q34" s="132">
        <f t="shared" ref="Q34:Q65" si="24">IF(B34="","",ROUND($H$9*J34/30*$I34,2)-S34)</f>
        <v>25.28</v>
      </c>
      <c r="R34" s="132"/>
      <c r="S34" s="125">
        <f t="shared" ref="S34:S65" si="25">IF(B34="","",IF(E34-E33&gt;1,ROUNDDOWN($J34*$H$9/30*(DATE(YEAR($C34),MONTH($C34)-1,DAY($C34))-C33),2),0))</f>
        <v>0</v>
      </c>
      <c r="T34" s="132">
        <f t="shared" ref="T34:T64" si="26">IF(B34="","",Q34+R34+S34)</f>
        <v>25.28</v>
      </c>
      <c r="U34" s="125">
        <f t="shared" ref="U34:U97" si="27">IF(B34="","",O34+P34+T34+ IF(D34="D",$P34))</f>
        <v>679.6515819444445</v>
      </c>
      <c r="V34" s="133">
        <f t="shared" si="5"/>
        <v>33372.92</v>
      </c>
      <c r="W34" s="133">
        <f t="shared" si="6"/>
        <v>0</v>
      </c>
      <c r="X34" s="278">
        <f t="shared" ref="X34:X97" si="28">+ROUND(J34*(((1+(H34/100))^(I34/G34))-1),4)</f>
        <v>307.14350000000002</v>
      </c>
      <c r="Y34" s="278">
        <f t="shared" ref="Y34:Y97" si="29">+L34-X34</f>
        <v>-3.5000000000309228E-3</v>
      </c>
      <c r="Z34" s="130">
        <f t="shared" ref="Z34:Z97" si="30">Z33+I34</f>
        <v>61</v>
      </c>
      <c r="AA34" s="125">
        <f t="shared" ref="AA34:AA97" si="31">1/((1+($J$8/100))^(Z34/$Q$9))*1</f>
        <v>0.98172428963773073</v>
      </c>
      <c r="AB34" s="132">
        <f ca="1">AF33</f>
        <v>312.74149636284909</v>
      </c>
      <c r="AC34" s="132">
        <f ca="1">AE34-AD34</f>
        <v>-2.8496324052212043</v>
      </c>
      <c r="AD34" s="131">
        <f t="shared" ca="1" si="7"/>
        <v>2.8498470145167798</v>
      </c>
      <c r="AE34" s="132">
        <f t="shared" ref="AE34:AE97" ca="1" si="32">$K$23</f>
        <v>2.1460929557551211E-4</v>
      </c>
      <c r="AF34" s="132">
        <f ca="1">AB34-AC34</f>
        <v>315.59112876807029</v>
      </c>
      <c r="AH34" s="126">
        <f t="shared" si="8"/>
        <v>44900</v>
      </c>
      <c r="AI34" s="127">
        <f t="shared" si="9"/>
        <v>679.6515819444445</v>
      </c>
    </row>
    <row r="35" spans="1:35" ht="13.8" outlineLevel="1" x14ac:dyDescent="0.3">
      <c r="A35" s="24">
        <f t="shared" si="10"/>
        <v>3</v>
      </c>
      <c r="B35" s="24">
        <f t="shared" si="0"/>
        <v>1</v>
      </c>
      <c r="C35" s="128">
        <f t="shared" si="11"/>
        <v>44931</v>
      </c>
      <c r="D35" s="129" t="str">
        <f t="shared" si="1"/>
        <v/>
      </c>
      <c r="E35" s="130">
        <f t="shared" si="12"/>
        <v>3</v>
      </c>
      <c r="F35" s="130">
        <f t="shared" si="13"/>
        <v>3</v>
      </c>
      <c r="G35" s="131">
        <f t="shared" si="14"/>
        <v>360</v>
      </c>
      <c r="H35" s="132">
        <f t="shared" si="15"/>
        <v>11.5</v>
      </c>
      <c r="I35" s="130">
        <f t="shared" si="16"/>
        <v>31</v>
      </c>
      <c r="J35" s="133">
        <f t="shared" si="17"/>
        <v>33372.92</v>
      </c>
      <c r="K35" s="124">
        <f t="shared" si="18"/>
        <v>325.19847222222228</v>
      </c>
      <c r="L35" s="132">
        <f t="shared" si="19"/>
        <v>314.29000000000002</v>
      </c>
      <c r="M35" s="132">
        <f t="shared" si="20"/>
        <v>4.3031097222222217</v>
      </c>
      <c r="N35" s="132">
        <f t="shared" si="21"/>
        <v>318.59310972222227</v>
      </c>
      <c r="O35" s="132">
        <f t="shared" si="22"/>
        <v>643.79158194444449</v>
      </c>
      <c r="P35" s="132">
        <f t="shared" si="23"/>
        <v>10</v>
      </c>
      <c r="Q35" s="132">
        <f t="shared" si="24"/>
        <v>25.86</v>
      </c>
      <c r="R35" s="132"/>
      <c r="S35" s="125">
        <f t="shared" si="25"/>
        <v>0</v>
      </c>
      <c r="T35" s="132">
        <f t="shared" si="26"/>
        <v>25.86</v>
      </c>
      <c r="U35" s="125">
        <f t="shared" si="27"/>
        <v>679.6515819444445</v>
      </c>
      <c r="V35" s="133">
        <f t="shared" si="5"/>
        <v>33047.72</v>
      </c>
      <c r="W35" s="133">
        <f t="shared" si="6"/>
        <v>0</v>
      </c>
      <c r="X35" s="278">
        <f t="shared" si="28"/>
        <v>314.29430000000002</v>
      </c>
      <c r="Y35" s="278">
        <f t="shared" si="29"/>
        <v>-4.3000000000006366E-3</v>
      </c>
      <c r="Z35" s="130">
        <f t="shared" si="30"/>
        <v>92</v>
      </c>
      <c r="AA35" s="125">
        <f t="shared" si="31"/>
        <v>0.97256501921287519</v>
      </c>
      <c r="AB35" s="132">
        <f t="shared" ref="AB35:AB98" ca="1" si="33">AF34</f>
        <v>315.59112876807029</v>
      </c>
      <c r="AC35" s="132">
        <f t="shared" ref="AC35:AC98" ca="1" si="34">AE35-AD35</f>
        <v>-2.9719100661442348</v>
      </c>
      <c r="AD35" s="131">
        <f t="shared" ca="1" si="7"/>
        <v>2.9721246754398103</v>
      </c>
      <c r="AE35" s="132">
        <f t="shared" ca="1" si="32"/>
        <v>2.1460929557551211E-4</v>
      </c>
      <c r="AF35" s="132">
        <f t="shared" ref="AF35:AF98" ca="1" si="35">AB35-AC35</f>
        <v>318.56303883421452</v>
      </c>
      <c r="AH35" s="126">
        <f t="shared" si="8"/>
        <v>44931</v>
      </c>
      <c r="AI35" s="127">
        <f t="shared" si="9"/>
        <v>679.6515819444445</v>
      </c>
    </row>
    <row r="36" spans="1:35" ht="13.8" outlineLevel="1" x14ac:dyDescent="0.3">
      <c r="A36" s="24">
        <f t="shared" si="10"/>
        <v>4</v>
      </c>
      <c r="B36" s="24">
        <f t="shared" si="0"/>
        <v>1</v>
      </c>
      <c r="C36" s="128">
        <f t="shared" si="11"/>
        <v>44962</v>
      </c>
      <c r="D36" s="129" t="str">
        <f t="shared" si="1"/>
        <v/>
      </c>
      <c r="E36" s="130">
        <f t="shared" si="12"/>
        <v>4</v>
      </c>
      <c r="F36" s="130">
        <f t="shared" si="13"/>
        <v>4</v>
      </c>
      <c r="G36" s="131">
        <f t="shared" si="14"/>
        <v>360</v>
      </c>
      <c r="H36" s="132">
        <f t="shared" si="15"/>
        <v>11.5</v>
      </c>
      <c r="I36" s="130">
        <f t="shared" si="16"/>
        <v>31</v>
      </c>
      <c r="J36" s="133">
        <f t="shared" si="17"/>
        <v>33047.72</v>
      </c>
      <c r="K36" s="124">
        <f t="shared" si="18"/>
        <v>328.50847222222228</v>
      </c>
      <c r="L36" s="132">
        <f t="shared" si="19"/>
        <v>311.23</v>
      </c>
      <c r="M36" s="132">
        <f t="shared" si="20"/>
        <v>4.3031097222222217</v>
      </c>
      <c r="N36" s="132">
        <f t="shared" si="21"/>
        <v>315.53310972222226</v>
      </c>
      <c r="O36" s="132">
        <f t="shared" si="22"/>
        <v>644.04158194444449</v>
      </c>
      <c r="P36" s="132">
        <f t="shared" si="23"/>
        <v>10</v>
      </c>
      <c r="Q36" s="132">
        <f t="shared" si="24"/>
        <v>25.61</v>
      </c>
      <c r="R36" s="132"/>
      <c r="S36" s="125">
        <f t="shared" si="25"/>
        <v>0</v>
      </c>
      <c r="T36" s="132">
        <f t="shared" si="26"/>
        <v>25.61</v>
      </c>
      <c r="U36" s="125">
        <f t="shared" si="27"/>
        <v>679.6515819444445</v>
      </c>
      <c r="V36" s="133">
        <f t="shared" si="5"/>
        <v>32719.21</v>
      </c>
      <c r="W36" s="133">
        <f t="shared" si="6"/>
        <v>0</v>
      </c>
      <c r="X36" s="278">
        <f t="shared" si="28"/>
        <v>311.23160000000001</v>
      </c>
      <c r="Y36" s="278">
        <f t="shared" si="29"/>
        <v>-1.5999999999962711E-3</v>
      </c>
      <c r="Z36" s="130">
        <f t="shared" si="30"/>
        <v>123</v>
      </c>
      <c r="AA36" s="125">
        <f t="shared" si="31"/>
        <v>0.96349120275467937</v>
      </c>
      <c r="AB36" s="132">
        <f t="shared" ca="1" si="33"/>
        <v>318.56303883421452</v>
      </c>
      <c r="AC36" s="132">
        <f t="shared" ca="1" si="34"/>
        <v>-2.999898455029737</v>
      </c>
      <c r="AD36" s="131">
        <f t="shared" ca="1" si="7"/>
        <v>3.0001130643253124</v>
      </c>
      <c r="AE36" s="132">
        <f t="shared" ca="1" si="32"/>
        <v>2.1460929557551211E-4</v>
      </c>
      <c r="AF36" s="132">
        <f t="shared" ca="1" si="35"/>
        <v>321.56293728924425</v>
      </c>
      <c r="AH36" s="126">
        <f t="shared" si="8"/>
        <v>44962</v>
      </c>
      <c r="AI36" s="127">
        <f t="shared" si="9"/>
        <v>679.6515819444445</v>
      </c>
    </row>
    <row r="37" spans="1:35" ht="13.8" outlineLevel="1" x14ac:dyDescent="0.3">
      <c r="A37" s="24">
        <f t="shared" si="10"/>
        <v>5</v>
      </c>
      <c r="B37" s="24">
        <f t="shared" si="0"/>
        <v>1</v>
      </c>
      <c r="C37" s="128">
        <f t="shared" si="11"/>
        <v>44990</v>
      </c>
      <c r="D37" s="129" t="str">
        <f t="shared" si="1"/>
        <v/>
      </c>
      <c r="E37" s="130">
        <f t="shared" si="12"/>
        <v>5</v>
      </c>
      <c r="F37" s="130">
        <f t="shared" si="13"/>
        <v>5</v>
      </c>
      <c r="G37" s="131">
        <f t="shared" si="14"/>
        <v>360</v>
      </c>
      <c r="H37" s="132">
        <f t="shared" si="15"/>
        <v>11.5</v>
      </c>
      <c r="I37" s="130">
        <f t="shared" si="16"/>
        <v>28</v>
      </c>
      <c r="J37" s="133">
        <f t="shared" si="17"/>
        <v>32719.21</v>
      </c>
      <c r="K37" s="124">
        <f t="shared" si="18"/>
        <v>364.25847222222234</v>
      </c>
      <c r="L37" s="132">
        <f t="shared" si="19"/>
        <v>278.19</v>
      </c>
      <c r="M37" s="132">
        <f t="shared" si="20"/>
        <v>4.3031097222222217</v>
      </c>
      <c r="N37" s="132">
        <f t="shared" si="21"/>
        <v>282.49310972222224</v>
      </c>
      <c r="O37" s="132">
        <f t="shared" si="22"/>
        <v>646.75158194444452</v>
      </c>
      <c r="P37" s="132">
        <f t="shared" si="23"/>
        <v>10</v>
      </c>
      <c r="Q37" s="132">
        <f t="shared" si="24"/>
        <v>22.9</v>
      </c>
      <c r="R37" s="132"/>
      <c r="S37" s="125">
        <f t="shared" si="25"/>
        <v>0</v>
      </c>
      <c r="T37" s="132">
        <f t="shared" si="26"/>
        <v>22.9</v>
      </c>
      <c r="U37" s="125">
        <f t="shared" si="27"/>
        <v>679.6515819444445</v>
      </c>
      <c r="V37" s="133">
        <f t="shared" si="5"/>
        <v>32354.95</v>
      </c>
      <c r="W37" s="133">
        <f t="shared" si="6"/>
        <v>0</v>
      </c>
      <c r="X37" s="278">
        <f t="shared" si="28"/>
        <v>278.19170000000003</v>
      </c>
      <c r="Y37" s="278">
        <f t="shared" si="29"/>
        <v>-1.7000000000280124E-3</v>
      </c>
      <c r="Z37" s="130">
        <f t="shared" si="30"/>
        <v>151</v>
      </c>
      <c r="AA37" s="125">
        <f t="shared" si="31"/>
        <v>0.95536828376163352</v>
      </c>
      <c r="AB37" s="132">
        <f t="shared" ca="1" si="33"/>
        <v>321.56293728924425</v>
      </c>
      <c r="AC37" s="132">
        <f t="shared" ca="1" si="34"/>
        <v>-2.7338406604500616</v>
      </c>
      <c r="AD37" s="131">
        <f t="shared" ca="1" si="7"/>
        <v>2.7340552697456371</v>
      </c>
      <c r="AE37" s="132">
        <f t="shared" ca="1" si="32"/>
        <v>2.1460929557551211E-4</v>
      </c>
      <c r="AF37" s="132">
        <f t="shared" ca="1" si="35"/>
        <v>324.29677794969433</v>
      </c>
      <c r="AH37" s="126">
        <f t="shared" si="8"/>
        <v>44990</v>
      </c>
      <c r="AI37" s="127">
        <f t="shared" si="9"/>
        <v>679.6515819444445</v>
      </c>
    </row>
    <row r="38" spans="1:35" ht="13.8" outlineLevel="1" x14ac:dyDescent="0.3">
      <c r="A38" s="24">
        <f t="shared" si="10"/>
        <v>6</v>
      </c>
      <c r="B38" s="24">
        <f t="shared" si="0"/>
        <v>1</v>
      </c>
      <c r="C38" s="128">
        <f t="shared" si="11"/>
        <v>45021</v>
      </c>
      <c r="D38" s="129" t="str">
        <f t="shared" si="1"/>
        <v/>
      </c>
      <c r="E38" s="130">
        <f t="shared" si="12"/>
        <v>6</v>
      </c>
      <c r="F38" s="130">
        <f t="shared" si="13"/>
        <v>6</v>
      </c>
      <c r="G38" s="131">
        <f t="shared" si="14"/>
        <v>360</v>
      </c>
      <c r="H38" s="132">
        <f t="shared" si="15"/>
        <v>11.5</v>
      </c>
      <c r="I38" s="130">
        <f t="shared" si="16"/>
        <v>31</v>
      </c>
      <c r="J38" s="133">
        <f t="shared" si="17"/>
        <v>32354.95</v>
      </c>
      <c r="K38" s="124">
        <f t="shared" si="18"/>
        <v>335.55847222222235</v>
      </c>
      <c r="L38" s="132">
        <f t="shared" si="19"/>
        <v>304.70999999999998</v>
      </c>
      <c r="M38" s="132">
        <f t="shared" si="20"/>
        <v>4.3031097222222217</v>
      </c>
      <c r="N38" s="132">
        <f t="shared" si="21"/>
        <v>309.01310972222223</v>
      </c>
      <c r="O38" s="132">
        <f t="shared" si="22"/>
        <v>644.57158194444446</v>
      </c>
      <c r="P38" s="132">
        <f t="shared" si="23"/>
        <v>10</v>
      </c>
      <c r="Q38" s="132">
        <f t="shared" si="24"/>
        <v>25.08</v>
      </c>
      <c r="R38" s="132"/>
      <c r="S38" s="125">
        <f t="shared" si="25"/>
        <v>0</v>
      </c>
      <c r="T38" s="132">
        <f t="shared" si="26"/>
        <v>25.08</v>
      </c>
      <c r="U38" s="293">
        <f t="shared" si="27"/>
        <v>679.6515819444445</v>
      </c>
      <c r="V38" s="133">
        <f t="shared" si="5"/>
        <v>32019.39</v>
      </c>
      <c r="W38" s="133">
        <f t="shared" si="6"/>
        <v>0</v>
      </c>
      <c r="X38" s="278">
        <f t="shared" si="28"/>
        <v>304.70740000000001</v>
      </c>
      <c r="Y38" s="278">
        <f t="shared" si="29"/>
        <v>2.5999999999726242E-3</v>
      </c>
      <c r="Z38" s="130">
        <f t="shared" si="30"/>
        <v>182</v>
      </c>
      <c r="AA38" s="125">
        <f t="shared" si="31"/>
        <v>0.94645490904057838</v>
      </c>
      <c r="AB38" s="132">
        <f t="shared" ca="1" si="33"/>
        <v>324.29677794969433</v>
      </c>
      <c r="AC38" s="132">
        <f t="shared" ca="1" si="34"/>
        <v>-3.0538967647229596</v>
      </c>
      <c r="AD38" s="131">
        <f t="shared" ca="1" si="7"/>
        <v>3.0541113740185351</v>
      </c>
      <c r="AE38" s="132">
        <f t="shared" ca="1" si="32"/>
        <v>2.1460929557551211E-4</v>
      </c>
      <c r="AF38" s="132">
        <f t="shared" ca="1" si="35"/>
        <v>327.35067471441727</v>
      </c>
      <c r="AH38" s="126">
        <f t="shared" si="8"/>
        <v>45021</v>
      </c>
      <c r="AI38" s="127">
        <f t="shared" si="9"/>
        <v>679.6515819444445</v>
      </c>
    </row>
    <row r="39" spans="1:35" s="266" customFormat="1" ht="13.8" outlineLevel="1" x14ac:dyDescent="0.3">
      <c r="A39" s="257">
        <f t="shared" si="10"/>
        <v>7</v>
      </c>
      <c r="B39" s="257">
        <f t="shared" si="0"/>
        <v>1</v>
      </c>
      <c r="C39" s="258">
        <f t="shared" si="11"/>
        <v>45051</v>
      </c>
      <c r="D39" s="259" t="str">
        <f t="shared" si="1"/>
        <v/>
      </c>
      <c r="E39" s="260">
        <f t="shared" si="12"/>
        <v>7</v>
      </c>
      <c r="F39" s="260">
        <f t="shared" si="13"/>
        <v>7</v>
      </c>
      <c r="G39" s="261">
        <f t="shared" si="14"/>
        <v>360</v>
      </c>
      <c r="H39" s="262">
        <f t="shared" si="15"/>
        <v>11.5</v>
      </c>
      <c r="I39" s="260">
        <f t="shared" si="16"/>
        <v>30</v>
      </c>
      <c r="J39" s="263">
        <f t="shared" si="17"/>
        <v>32019.39</v>
      </c>
      <c r="K39" s="264">
        <f t="shared" si="18"/>
        <v>349.55847222222235</v>
      </c>
      <c r="L39" s="262">
        <f t="shared" si="19"/>
        <v>291.77999999999997</v>
      </c>
      <c r="M39" s="262">
        <f t="shared" si="20"/>
        <v>4.3031097222222217</v>
      </c>
      <c r="N39" s="262">
        <f t="shared" si="21"/>
        <v>296.08310972222222</v>
      </c>
      <c r="O39" s="262">
        <f t="shared" si="22"/>
        <v>645.64158194444451</v>
      </c>
      <c r="P39" s="262">
        <f t="shared" si="23"/>
        <v>10</v>
      </c>
      <c r="Q39" s="262">
        <f t="shared" si="24"/>
        <v>24.01</v>
      </c>
      <c r="R39" s="262"/>
      <c r="S39" s="265">
        <f t="shared" si="25"/>
        <v>0</v>
      </c>
      <c r="T39" s="262">
        <f t="shared" si="26"/>
        <v>24.01</v>
      </c>
      <c r="U39" s="265">
        <f t="shared" si="27"/>
        <v>679.6515819444445</v>
      </c>
      <c r="V39" s="263">
        <f t="shared" si="5"/>
        <v>31669.83</v>
      </c>
      <c r="W39" s="263">
        <f t="shared" si="6"/>
        <v>0</v>
      </c>
      <c r="X39" s="278">
        <f t="shared" si="28"/>
        <v>291.77569999999997</v>
      </c>
      <c r="Y39" s="278">
        <f t="shared" si="29"/>
        <v>4.3000000000006366E-3</v>
      </c>
      <c r="Z39" s="260">
        <f t="shared" si="30"/>
        <v>212</v>
      </c>
      <c r="AA39" s="265">
        <f t="shared" si="31"/>
        <v>0.93790824971830777</v>
      </c>
      <c r="AB39" s="262">
        <f t="shared" ca="1" si="33"/>
        <v>327.35067471441727</v>
      </c>
      <c r="AC39" s="262">
        <f t="shared" ca="1" si="34"/>
        <v>-2.9827580818389792</v>
      </c>
      <c r="AD39" s="261">
        <f t="shared" ca="1" si="7"/>
        <v>2.9829726911345547</v>
      </c>
      <c r="AE39" s="262">
        <f t="shared" ca="1" si="32"/>
        <v>2.1460929557551211E-4</v>
      </c>
      <c r="AF39" s="262">
        <f t="shared" ca="1" si="35"/>
        <v>330.33343279625626</v>
      </c>
      <c r="AH39" s="267">
        <f t="shared" si="8"/>
        <v>45051</v>
      </c>
      <c r="AI39" s="268">
        <f t="shared" si="9"/>
        <v>679.6515819444445</v>
      </c>
    </row>
    <row r="40" spans="1:35" ht="13.8" outlineLevel="1" x14ac:dyDescent="0.3">
      <c r="A40" s="24">
        <f t="shared" si="10"/>
        <v>8</v>
      </c>
      <c r="B40" s="24">
        <f t="shared" si="0"/>
        <v>1</v>
      </c>
      <c r="C40" s="128">
        <f>IF(B40="","",IF(OR(MONTH(EDATE($Q$6,E40))=$H$16,MONTH(EDATE($Q$6,E40))=$H$17),IF(ABS($H$17-$H$16)=1,EDATE($Q$6,E40+2),EDATE($Q$6,E40+1)),EDATE($Q$6,E40)))</f>
        <v>45082</v>
      </c>
      <c r="D40" s="129" t="str">
        <f t="shared" si="1"/>
        <v/>
      </c>
      <c r="E40" s="130">
        <f>IF(B40="","",IF(OR(MONTH(DATE(YEAR(C39) + 1/12,MONTH(C39)+1,DAY(C39)))=$H$16,MONTH(DATE(YEAR(C39) + 1/12,MONTH(C39)+1,DAY(C39)))=$H$17),IF(OR(ABS($H$17-$H$16)&gt;1,$H$16=1),E39+2,E39 + 3),E39 + 1))</f>
        <v>8</v>
      </c>
      <c r="F40" s="130">
        <f t="shared" si="13"/>
        <v>8</v>
      </c>
      <c r="G40" s="131">
        <f t="shared" si="14"/>
        <v>360</v>
      </c>
      <c r="H40" s="132">
        <f t="shared" si="15"/>
        <v>11.5</v>
      </c>
      <c r="I40" s="130">
        <f t="shared" si="16"/>
        <v>31</v>
      </c>
      <c r="J40" s="133">
        <f t="shared" si="17"/>
        <v>31669.83</v>
      </c>
      <c r="K40" s="124">
        <f t="shared" si="18"/>
        <v>342.5484722222223</v>
      </c>
      <c r="L40" s="132">
        <f t="shared" si="19"/>
        <v>298.26</v>
      </c>
      <c r="M40" s="132">
        <f t="shared" si="20"/>
        <v>4.3031097222222217</v>
      </c>
      <c r="N40" s="132">
        <f t="shared" si="21"/>
        <v>302.56310972222224</v>
      </c>
      <c r="O40" s="132">
        <f t="shared" si="22"/>
        <v>645.11158194444442</v>
      </c>
      <c r="P40" s="132">
        <f t="shared" si="23"/>
        <v>10</v>
      </c>
      <c r="Q40" s="132">
        <f t="shared" si="24"/>
        <v>24.54</v>
      </c>
      <c r="R40" s="132"/>
      <c r="S40" s="125">
        <f t="shared" si="25"/>
        <v>0</v>
      </c>
      <c r="T40" s="132">
        <f t="shared" si="26"/>
        <v>24.54</v>
      </c>
      <c r="U40" s="125">
        <f t="shared" si="27"/>
        <v>679.65158194444439</v>
      </c>
      <c r="V40" s="133">
        <f t="shared" si="5"/>
        <v>31327.279999999999</v>
      </c>
      <c r="W40" s="133">
        <f t="shared" si="6"/>
        <v>0</v>
      </c>
      <c r="X40" s="278">
        <f t="shared" si="28"/>
        <v>298.2552</v>
      </c>
      <c r="Y40" s="278">
        <f t="shared" si="29"/>
        <v>4.7999999999888132E-3</v>
      </c>
      <c r="Z40" s="130">
        <f t="shared" si="30"/>
        <v>243</v>
      </c>
      <c r="AA40" s="125">
        <f t="shared" si="31"/>
        <v>0.92915777325200488</v>
      </c>
      <c r="AB40" s="132">
        <f t="shared" ca="1" si="33"/>
        <v>330.33343279625626</v>
      </c>
      <c r="AC40" s="132">
        <f t="shared" ca="1" si="34"/>
        <v>-3.1107478267176885</v>
      </c>
      <c r="AD40" s="131">
        <f t="shared" ca="1" si="7"/>
        <v>3.1109624360132639</v>
      </c>
      <c r="AE40" s="132">
        <f t="shared" ca="1" si="32"/>
        <v>2.1460929557551211E-4</v>
      </c>
      <c r="AF40" s="132">
        <f t="shared" ca="1" si="35"/>
        <v>333.44418062297393</v>
      </c>
      <c r="AH40" s="126">
        <f t="shared" si="8"/>
        <v>45082</v>
      </c>
      <c r="AI40" s="127">
        <f t="shared" si="9"/>
        <v>679.65158194444439</v>
      </c>
    </row>
    <row r="41" spans="1:35" ht="13.8" outlineLevel="1" x14ac:dyDescent="0.3">
      <c r="A41" s="24">
        <f t="shared" si="10"/>
        <v>9</v>
      </c>
      <c r="B41" s="24">
        <f t="shared" si="0"/>
        <v>1</v>
      </c>
      <c r="C41" s="128">
        <f>IF(B41="","",IF(OR(MONTH(EDATE($Q$6,E41))=$H$16,MONTH(EDATE($Q$6,E41))=$H$17),IF(ABS($H$17-$H$16)=1,EDATE($Q$6,E41+2),EDATE($Q$6,E41+1)),EDATE($Q$6,E41)))</f>
        <v>45112</v>
      </c>
      <c r="D41" s="129" t="str">
        <f t="shared" si="1"/>
        <v/>
      </c>
      <c r="E41" s="130">
        <f t="shared" ref="E41:E104" si="36">IF(B41="","",IF(OR(MONTH(DATE(YEAR(C40) + 1/12,MONTH(C40)+1,DAY(C40)))=$H$16,MONTH(DATE(YEAR(C40) + 1/12,MONTH(C40)+1,DAY(C40)))=$H$17),IF(OR(ABS($H$17-$H$16)&gt;1,$H$16=1),E40+2,E40 + 3),E40 + 1))</f>
        <v>9</v>
      </c>
      <c r="F41" s="130">
        <f t="shared" si="13"/>
        <v>9</v>
      </c>
      <c r="G41" s="131">
        <f t="shared" si="14"/>
        <v>360</v>
      </c>
      <c r="H41" s="132">
        <f t="shared" si="15"/>
        <v>11.5</v>
      </c>
      <c r="I41" s="130">
        <f t="shared" si="16"/>
        <v>30</v>
      </c>
      <c r="J41" s="133">
        <f t="shared" si="17"/>
        <v>31327.279999999999</v>
      </c>
      <c r="K41" s="124">
        <f t="shared" si="18"/>
        <v>356.37847222222229</v>
      </c>
      <c r="L41" s="132">
        <f t="shared" si="19"/>
        <v>285.47000000000003</v>
      </c>
      <c r="M41" s="132">
        <f t="shared" si="20"/>
        <v>4.3031097222222217</v>
      </c>
      <c r="N41" s="132">
        <f t="shared" si="21"/>
        <v>289.77310972222227</v>
      </c>
      <c r="O41" s="132">
        <f t="shared" si="22"/>
        <v>646.1515819444445</v>
      </c>
      <c r="P41" s="132">
        <f t="shared" si="23"/>
        <v>10</v>
      </c>
      <c r="Q41" s="132">
        <f t="shared" si="24"/>
        <v>23.5</v>
      </c>
      <c r="R41" s="132"/>
      <c r="S41" s="125">
        <f t="shared" si="25"/>
        <v>0</v>
      </c>
      <c r="T41" s="132">
        <f t="shared" si="26"/>
        <v>23.5</v>
      </c>
      <c r="U41" s="125">
        <f t="shared" si="27"/>
        <v>679.6515819444445</v>
      </c>
      <c r="V41" s="133">
        <f t="shared" si="5"/>
        <v>30970.9</v>
      </c>
      <c r="W41" s="133">
        <f t="shared" si="6"/>
        <v>0</v>
      </c>
      <c r="X41" s="278">
        <f t="shared" si="28"/>
        <v>285.46890000000002</v>
      </c>
      <c r="Y41" s="278">
        <f t="shared" si="29"/>
        <v>1.1000000000080945E-3</v>
      </c>
      <c r="Z41" s="130">
        <f t="shared" si="30"/>
        <v>273</v>
      </c>
      <c r="AA41" s="125">
        <f t="shared" si="31"/>
        <v>0.9207673102000733</v>
      </c>
      <c r="AB41" s="132">
        <f t="shared" ca="1" si="33"/>
        <v>333.44418062297393</v>
      </c>
      <c r="AC41" s="132">
        <f t="shared" ca="1" si="34"/>
        <v>-3.0382849621007937</v>
      </c>
      <c r="AD41" s="131">
        <f t="shared" ca="1" si="7"/>
        <v>3.0384995713963692</v>
      </c>
      <c r="AE41" s="132">
        <f t="shared" ca="1" si="32"/>
        <v>2.1460929557551211E-4</v>
      </c>
      <c r="AF41" s="132">
        <f t="shared" ca="1" si="35"/>
        <v>336.48246558507475</v>
      </c>
      <c r="AH41" s="126">
        <f t="shared" si="8"/>
        <v>45112</v>
      </c>
      <c r="AI41" s="127">
        <f t="shared" si="9"/>
        <v>679.6515819444445</v>
      </c>
    </row>
    <row r="42" spans="1:35" ht="13.8" outlineLevel="1" x14ac:dyDescent="0.3">
      <c r="A42" s="24">
        <f t="shared" si="10"/>
        <v>10</v>
      </c>
      <c r="B42" s="24">
        <f t="shared" si="0"/>
        <v>1</v>
      </c>
      <c r="C42" s="128">
        <f t="shared" si="11"/>
        <v>45143</v>
      </c>
      <c r="D42" s="129" t="str">
        <f t="shared" si="1"/>
        <v/>
      </c>
      <c r="E42" s="130">
        <f t="shared" si="36"/>
        <v>10</v>
      </c>
      <c r="F42" s="130">
        <f t="shared" si="13"/>
        <v>10</v>
      </c>
      <c r="G42" s="131">
        <f t="shared" si="14"/>
        <v>360</v>
      </c>
      <c r="H42" s="132">
        <f t="shared" si="15"/>
        <v>11.5</v>
      </c>
      <c r="I42" s="130">
        <f t="shared" si="16"/>
        <v>31</v>
      </c>
      <c r="J42" s="133">
        <f t="shared" si="17"/>
        <v>30970.9</v>
      </c>
      <c r="K42" s="124">
        <f t="shared" si="18"/>
        <v>349.6784722222223</v>
      </c>
      <c r="L42" s="132">
        <f t="shared" si="19"/>
        <v>291.67</v>
      </c>
      <c r="M42" s="132">
        <f t="shared" si="20"/>
        <v>4.3031097222222217</v>
      </c>
      <c r="N42" s="132">
        <f t="shared" si="21"/>
        <v>295.97310972222226</v>
      </c>
      <c r="O42" s="132">
        <f t="shared" si="22"/>
        <v>645.6515819444445</v>
      </c>
      <c r="P42" s="132">
        <f t="shared" si="23"/>
        <v>10</v>
      </c>
      <c r="Q42" s="132">
        <f t="shared" si="24"/>
        <v>24</v>
      </c>
      <c r="R42" s="132"/>
      <c r="S42" s="125">
        <f t="shared" si="25"/>
        <v>0</v>
      </c>
      <c r="T42" s="132">
        <f t="shared" si="26"/>
        <v>24</v>
      </c>
      <c r="U42" s="125">
        <f t="shared" si="27"/>
        <v>679.6515819444445</v>
      </c>
      <c r="V42" s="133">
        <f t="shared" si="5"/>
        <v>30621.22</v>
      </c>
      <c r="W42" s="133">
        <f t="shared" si="6"/>
        <v>0</v>
      </c>
      <c r="X42" s="278">
        <f t="shared" si="28"/>
        <v>291.67290000000003</v>
      </c>
      <c r="Y42" s="278">
        <f t="shared" si="29"/>
        <v>-2.9000000000110049E-3</v>
      </c>
      <c r="Z42" s="130">
        <f t="shared" si="30"/>
        <v>304</v>
      </c>
      <c r="AA42" s="125">
        <f t="shared" si="31"/>
        <v>0.91217675490720029</v>
      </c>
      <c r="AB42" s="132">
        <f t="shared" ca="1" si="33"/>
        <v>336.48246558507475</v>
      </c>
      <c r="AC42" s="132">
        <f t="shared" ca="1" si="34"/>
        <v>-3.1686572240859738</v>
      </c>
      <c r="AD42" s="131">
        <f t="shared" ca="1" si="7"/>
        <v>3.1688718333815493</v>
      </c>
      <c r="AE42" s="132">
        <f t="shared" ca="1" si="32"/>
        <v>2.1460929557551211E-4</v>
      </c>
      <c r="AF42" s="132">
        <f t="shared" ca="1" si="35"/>
        <v>339.65112280916071</v>
      </c>
      <c r="AH42" s="126">
        <f t="shared" si="8"/>
        <v>45143</v>
      </c>
      <c r="AI42" s="127">
        <f t="shared" si="9"/>
        <v>679.6515819444445</v>
      </c>
    </row>
    <row r="43" spans="1:35" s="266" customFormat="1" ht="13.8" outlineLevel="1" x14ac:dyDescent="0.3">
      <c r="A43" s="257">
        <f t="shared" si="10"/>
        <v>11</v>
      </c>
      <c r="B43" s="257">
        <f t="shared" si="0"/>
        <v>1</v>
      </c>
      <c r="C43" s="258">
        <f t="shared" si="11"/>
        <v>45174</v>
      </c>
      <c r="D43" s="259" t="str">
        <f t="shared" si="1"/>
        <v/>
      </c>
      <c r="E43" s="260">
        <f t="shared" si="36"/>
        <v>11</v>
      </c>
      <c r="F43" s="260">
        <f t="shared" si="13"/>
        <v>11</v>
      </c>
      <c r="G43" s="261">
        <f t="shared" si="14"/>
        <v>360</v>
      </c>
      <c r="H43" s="262">
        <f t="shared" si="15"/>
        <v>11.5</v>
      </c>
      <c r="I43" s="260">
        <f t="shared" si="16"/>
        <v>31</v>
      </c>
      <c r="J43" s="263">
        <f t="shared" si="17"/>
        <v>30621.22</v>
      </c>
      <c r="K43" s="264">
        <f t="shared" si="18"/>
        <v>353.2384722222223</v>
      </c>
      <c r="L43" s="262">
        <f t="shared" si="19"/>
        <v>288.38</v>
      </c>
      <c r="M43" s="262">
        <f t="shared" si="20"/>
        <v>4.3031097222222217</v>
      </c>
      <c r="N43" s="262">
        <f t="shared" si="21"/>
        <v>292.68310972222224</v>
      </c>
      <c r="O43" s="262">
        <f t="shared" si="22"/>
        <v>645.92158194444448</v>
      </c>
      <c r="P43" s="262">
        <f t="shared" si="23"/>
        <v>10</v>
      </c>
      <c r="Q43" s="262">
        <f t="shared" si="24"/>
        <v>23.73</v>
      </c>
      <c r="R43" s="262"/>
      <c r="S43" s="265">
        <f t="shared" si="25"/>
        <v>0</v>
      </c>
      <c r="T43" s="262">
        <f t="shared" si="26"/>
        <v>23.73</v>
      </c>
      <c r="U43" s="265">
        <f t="shared" si="27"/>
        <v>679.6515819444445</v>
      </c>
      <c r="V43" s="263">
        <f t="shared" si="5"/>
        <v>30267.98</v>
      </c>
      <c r="W43" s="263">
        <f t="shared" si="6"/>
        <v>0</v>
      </c>
      <c r="X43" s="278">
        <f t="shared" si="28"/>
        <v>288.37970000000001</v>
      </c>
      <c r="Y43" s="278">
        <f t="shared" si="29"/>
        <v>2.9999999998153726E-4</v>
      </c>
      <c r="Z43" s="260">
        <f t="shared" si="30"/>
        <v>335</v>
      </c>
      <c r="AA43" s="265">
        <f t="shared" si="31"/>
        <v>0.90366634759462849</v>
      </c>
      <c r="AB43" s="262">
        <f t="shared" ca="1" si="33"/>
        <v>339.65112280916071</v>
      </c>
      <c r="AC43" s="262">
        <f t="shared" ca="1" si="34"/>
        <v>-3.1984985075228018</v>
      </c>
      <c r="AD43" s="261">
        <f t="shared" ca="1" si="7"/>
        <v>3.1987131168183773</v>
      </c>
      <c r="AE43" s="262">
        <f t="shared" ca="1" si="32"/>
        <v>2.1460929557551211E-4</v>
      </c>
      <c r="AF43" s="262">
        <f t="shared" ca="1" si="35"/>
        <v>342.84962131668351</v>
      </c>
      <c r="AH43" s="267">
        <f t="shared" si="8"/>
        <v>45174</v>
      </c>
      <c r="AI43" s="268">
        <f t="shared" si="9"/>
        <v>679.6515819444445</v>
      </c>
    </row>
    <row r="44" spans="1:35" ht="13.8" outlineLevel="1" x14ac:dyDescent="0.3">
      <c r="A44" s="24">
        <f t="shared" si="10"/>
        <v>12</v>
      </c>
      <c r="B44" s="24">
        <f t="shared" si="0"/>
        <v>1</v>
      </c>
      <c r="C44" s="128">
        <f t="shared" si="11"/>
        <v>45204</v>
      </c>
      <c r="D44" s="129" t="str">
        <f t="shared" si="1"/>
        <v/>
      </c>
      <c r="E44" s="130">
        <f t="shared" si="36"/>
        <v>12</v>
      </c>
      <c r="F44" s="130">
        <f t="shared" si="13"/>
        <v>12</v>
      </c>
      <c r="G44" s="131">
        <f t="shared" si="14"/>
        <v>360</v>
      </c>
      <c r="H44" s="132">
        <f t="shared" si="15"/>
        <v>11.5</v>
      </c>
      <c r="I44" s="130">
        <f t="shared" si="16"/>
        <v>30</v>
      </c>
      <c r="J44" s="133">
        <f t="shared" si="17"/>
        <v>30267.98</v>
      </c>
      <c r="K44" s="124">
        <f t="shared" si="18"/>
        <v>366.82847222222233</v>
      </c>
      <c r="L44" s="132">
        <f t="shared" si="19"/>
        <v>275.82</v>
      </c>
      <c r="M44" s="132">
        <f t="shared" si="20"/>
        <v>4.3031097222222217</v>
      </c>
      <c r="N44" s="132">
        <f t="shared" si="21"/>
        <v>280.12310972222224</v>
      </c>
      <c r="O44" s="132">
        <f t="shared" si="22"/>
        <v>646.95158194444457</v>
      </c>
      <c r="P44" s="132">
        <f t="shared" si="23"/>
        <v>10</v>
      </c>
      <c r="Q44" s="132">
        <f t="shared" si="24"/>
        <v>22.7</v>
      </c>
      <c r="R44" s="132"/>
      <c r="S44" s="125">
        <f t="shared" si="25"/>
        <v>0</v>
      </c>
      <c r="T44" s="132">
        <f t="shared" si="26"/>
        <v>22.7</v>
      </c>
      <c r="U44" s="125">
        <f t="shared" si="27"/>
        <v>679.65158194444462</v>
      </c>
      <c r="V44" s="133">
        <f t="shared" si="5"/>
        <v>29901.15</v>
      </c>
      <c r="W44" s="133">
        <f t="shared" si="6"/>
        <v>0</v>
      </c>
      <c r="X44" s="278">
        <f t="shared" si="28"/>
        <v>275.81599999999997</v>
      </c>
      <c r="Y44" s="278">
        <f t="shared" si="29"/>
        <v>4.0000000000190994E-3</v>
      </c>
      <c r="Z44" s="130">
        <f t="shared" si="30"/>
        <v>365</v>
      </c>
      <c r="AA44" s="125">
        <f t="shared" si="31"/>
        <v>0.89550607673532168</v>
      </c>
      <c r="AB44" s="132">
        <f t="shared" ca="1" si="33"/>
        <v>342.84962131668351</v>
      </c>
      <c r="AC44" s="132">
        <f t="shared" ca="1" si="34"/>
        <v>-3.1239917435574003</v>
      </c>
      <c r="AD44" s="131">
        <f t="shared" ca="1" si="7"/>
        <v>3.1242063528529758</v>
      </c>
      <c r="AE44" s="132">
        <f t="shared" ca="1" si="32"/>
        <v>2.1460929557551211E-4</v>
      </c>
      <c r="AF44" s="132">
        <f t="shared" ca="1" si="35"/>
        <v>345.97361306024089</v>
      </c>
      <c r="AH44" s="126">
        <f t="shared" si="8"/>
        <v>45204</v>
      </c>
      <c r="AI44" s="127">
        <f t="shared" si="9"/>
        <v>679.65158194444462</v>
      </c>
    </row>
    <row r="45" spans="1:35" ht="13.8" outlineLevel="1" x14ac:dyDescent="0.3">
      <c r="A45" s="24">
        <f t="shared" si="10"/>
        <v>13</v>
      </c>
      <c r="B45" s="24">
        <f t="shared" si="0"/>
        <v>1</v>
      </c>
      <c r="C45" s="128">
        <f t="shared" si="11"/>
        <v>45235</v>
      </c>
      <c r="D45" s="129" t="str">
        <f t="shared" si="1"/>
        <v/>
      </c>
      <c r="E45" s="130">
        <f t="shared" si="36"/>
        <v>13</v>
      </c>
      <c r="F45" s="130">
        <f t="shared" si="13"/>
        <v>13</v>
      </c>
      <c r="G45" s="131">
        <f t="shared" si="14"/>
        <v>360</v>
      </c>
      <c r="H45" s="132">
        <f t="shared" si="15"/>
        <v>11.5</v>
      </c>
      <c r="I45" s="130">
        <f t="shared" si="16"/>
        <v>31</v>
      </c>
      <c r="J45" s="133">
        <f t="shared" si="17"/>
        <v>29901.15</v>
      </c>
      <c r="K45" s="124">
        <f t="shared" si="18"/>
        <v>360.57847222222227</v>
      </c>
      <c r="L45" s="132">
        <f t="shared" si="19"/>
        <v>281.60000000000002</v>
      </c>
      <c r="M45" s="132">
        <f t="shared" si="20"/>
        <v>4.3031097222222217</v>
      </c>
      <c r="N45" s="132">
        <f t="shared" si="21"/>
        <v>285.90310972222227</v>
      </c>
      <c r="O45" s="132">
        <f t="shared" si="22"/>
        <v>646.48158194444454</v>
      </c>
      <c r="P45" s="132">
        <f t="shared" si="23"/>
        <v>10</v>
      </c>
      <c r="Q45" s="132">
        <f t="shared" si="24"/>
        <v>23.17</v>
      </c>
      <c r="R45" s="132"/>
      <c r="S45" s="125">
        <f t="shared" si="25"/>
        <v>0</v>
      </c>
      <c r="T45" s="132">
        <f t="shared" si="26"/>
        <v>23.17</v>
      </c>
      <c r="U45" s="125">
        <f t="shared" si="27"/>
        <v>679.6515819444445</v>
      </c>
      <c r="V45" s="133">
        <f t="shared" si="5"/>
        <v>29540.57</v>
      </c>
      <c r="W45" s="133">
        <f t="shared" si="6"/>
        <v>0</v>
      </c>
      <c r="X45" s="278">
        <f t="shared" si="28"/>
        <v>281.59840000000003</v>
      </c>
      <c r="Y45" s="278">
        <f t="shared" si="29"/>
        <v>1.5999999999962711E-3</v>
      </c>
      <c r="Z45" s="130">
        <f t="shared" si="30"/>
        <v>396</v>
      </c>
      <c r="AA45" s="125">
        <f t="shared" si="31"/>
        <v>0.88715120316185936</v>
      </c>
      <c r="AB45" s="132">
        <f t="shared" ca="1" si="33"/>
        <v>345.97361306024089</v>
      </c>
      <c r="AC45" s="132">
        <f t="shared" ca="1" si="34"/>
        <v>-3.2580414653962242</v>
      </c>
      <c r="AD45" s="131">
        <f t="shared" ca="1" si="7"/>
        <v>3.2582560746917997</v>
      </c>
      <c r="AE45" s="132">
        <f t="shared" ca="1" si="32"/>
        <v>2.1460929557551211E-4</v>
      </c>
      <c r="AF45" s="132">
        <f t="shared" ca="1" si="35"/>
        <v>349.23165452563711</v>
      </c>
      <c r="AH45" s="126">
        <f t="shared" si="8"/>
        <v>45235</v>
      </c>
      <c r="AI45" s="127">
        <f t="shared" si="9"/>
        <v>679.6515819444445</v>
      </c>
    </row>
    <row r="46" spans="1:35" ht="13.8" outlineLevel="1" x14ac:dyDescent="0.3">
      <c r="A46" s="24">
        <f t="shared" si="10"/>
        <v>14</v>
      </c>
      <c r="B46" s="24">
        <f t="shared" si="0"/>
        <v>1</v>
      </c>
      <c r="C46" s="128">
        <f t="shared" si="11"/>
        <v>45265</v>
      </c>
      <c r="D46" s="129" t="str">
        <f t="shared" si="1"/>
        <v/>
      </c>
      <c r="E46" s="130">
        <f t="shared" si="36"/>
        <v>14</v>
      </c>
      <c r="F46" s="130">
        <f t="shared" si="13"/>
        <v>14</v>
      </c>
      <c r="G46" s="131">
        <f t="shared" si="14"/>
        <v>360</v>
      </c>
      <c r="H46" s="132">
        <f t="shared" si="15"/>
        <v>11.5</v>
      </c>
      <c r="I46" s="130">
        <f t="shared" si="16"/>
        <v>30</v>
      </c>
      <c r="J46" s="133">
        <f t="shared" si="17"/>
        <v>29540.57</v>
      </c>
      <c r="K46" s="124">
        <f t="shared" si="18"/>
        <v>373.99847222222229</v>
      </c>
      <c r="L46" s="132">
        <f t="shared" si="19"/>
        <v>269.19</v>
      </c>
      <c r="M46" s="132">
        <f t="shared" si="20"/>
        <v>4.3031097222222217</v>
      </c>
      <c r="N46" s="132">
        <f t="shared" si="21"/>
        <v>273.49310972222224</v>
      </c>
      <c r="O46" s="132">
        <f t="shared" si="22"/>
        <v>647.49158194444453</v>
      </c>
      <c r="P46" s="132">
        <f t="shared" si="23"/>
        <v>10</v>
      </c>
      <c r="Q46" s="132">
        <f t="shared" si="24"/>
        <v>22.16</v>
      </c>
      <c r="R46" s="132"/>
      <c r="S46" s="125">
        <f t="shared" si="25"/>
        <v>0</v>
      </c>
      <c r="T46" s="132">
        <f t="shared" si="26"/>
        <v>22.16</v>
      </c>
      <c r="U46" s="125">
        <f t="shared" si="27"/>
        <v>679.6515819444445</v>
      </c>
      <c r="V46" s="133">
        <f t="shared" si="5"/>
        <v>29166.57</v>
      </c>
      <c r="W46" s="133">
        <f t="shared" si="6"/>
        <v>0</v>
      </c>
      <c r="X46" s="278">
        <f t="shared" si="28"/>
        <v>269.1875</v>
      </c>
      <c r="Y46" s="278">
        <f t="shared" si="29"/>
        <v>2.4999999999977263E-3</v>
      </c>
      <c r="Z46" s="130">
        <f t="shared" si="30"/>
        <v>426</v>
      </c>
      <c r="AA46" s="125">
        <f t="shared" si="31"/>
        <v>0.87914006704925496</v>
      </c>
      <c r="AB46" s="132">
        <f t="shared" ca="1" si="33"/>
        <v>349.23165452563711</v>
      </c>
      <c r="AC46" s="132">
        <f t="shared" ca="1" si="34"/>
        <v>-3.182147819737267</v>
      </c>
      <c r="AD46" s="131">
        <f t="shared" ca="1" si="7"/>
        <v>3.1823624290328425</v>
      </c>
      <c r="AE46" s="132">
        <f t="shared" ca="1" si="32"/>
        <v>2.1460929557551211E-4</v>
      </c>
      <c r="AF46" s="132">
        <f t="shared" ca="1" si="35"/>
        <v>352.41380234537439</v>
      </c>
      <c r="AH46" s="126">
        <f t="shared" si="8"/>
        <v>45265</v>
      </c>
      <c r="AI46" s="127">
        <f t="shared" si="9"/>
        <v>679.6515819444445</v>
      </c>
    </row>
    <row r="47" spans="1:35" ht="13.8" outlineLevel="1" x14ac:dyDescent="0.3">
      <c r="A47" s="24">
        <f t="shared" si="10"/>
        <v>15</v>
      </c>
      <c r="B47" s="24">
        <f t="shared" si="0"/>
        <v>1</v>
      </c>
      <c r="C47" s="128">
        <f t="shared" si="11"/>
        <v>45296</v>
      </c>
      <c r="D47" s="129" t="str">
        <f t="shared" si="1"/>
        <v/>
      </c>
      <c r="E47" s="130">
        <f t="shared" si="36"/>
        <v>15</v>
      </c>
      <c r="F47" s="130">
        <f t="shared" si="13"/>
        <v>15</v>
      </c>
      <c r="G47" s="131">
        <f t="shared" si="14"/>
        <v>360</v>
      </c>
      <c r="H47" s="132">
        <f t="shared" si="15"/>
        <v>11.5</v>
      </c>
      <c r="I47" s="130">
        <f t="shared" si="16"/>
        <v>31</v>
      </c>
      <c r="J47" s="133">
        <f t="shared" si="17"/>
        <v>29166.57</v>
      </c>
      <c r="K47" s="124">
        <f t="shared" si="18"/>
        <v>368.06847222222228</v>
      </c>
      <c r="L47" s="132">
        <f t="shared" si="19"/>
        <v>274.68</v>
      </c>
      <c r="M47" s="132">
        <f t="shared" si="20"/>
        <v>4.3031097222222217</v>
      </c>
      <c r="N47" s="132">
        <f t="shared" si="21"/>
        <v>278.98310972222225</v>
      </c>
      <c r="O47" s="132">
        <f t="shared" si="22"/>
        <v>647.05158194444448</v>
      </c>
      <c r="P47" s="132">
        <f t="shared" si="23"/>
        <v>10</v>
      </c>
      <c r="Q47" s="132">
        <f t="shared" si="24"/>
        <v>22.6</v>
      </c>
      <c r="R47" s="132"/>
      <c r="S47" s="125">
        <f t="shared" si="25"/>
        <v>0</v>
      </c>
      <c r="T47" s="132">
        <f t="shared" si="26"/>
        <v>22.6</v>
      </c>
      <c r="U47" s="125">
        <f t="shared" si="27"/>
        <v>679.6515819444445</v>
      </c>
      <c r="V47" s="133">
        <f t="shared" si="5"/>
        <v>28798.5</v>
      </c>
      <c r="W47" s="133">
        <f t="shared" si="6"/>
        <v>0</v>
      </c>
      <c r="X47" s="278">
        <f t="shared" si="28"/>
        <v>274.68040000000002</v>
      </c>
      <c r="Y47" s="278">
        <f t="shared" si="29"/>
        <v>-4.0000000001327862E-4</v>
      </c>
      <c r="Z47" s="130">
        <f t="shared" si="30"/>
        <v>457</v>
      </c>
      <c r="AA47" s="125">
        <f t="shared" si="31"/>
        <v>0.87093788472533473</v>
      </c>
      <c r="AB47" s="132">
        <f t="shared" ca="1" si="33"/>
        <v>352.41380234537439</v>
      </c>
      <c r="AC47" s="132">
        <f t="shared" ca="1" si="34"/>
        <v>-3.3186928707876451</v>
      </c>
      <c r="AD47" s="131">
        <f t="shared" ca="1" si="7"/>
        <v>3.3189074800832206</v>
      </c>
      <c r="AE47" s="132">
        <f t="shared" ca="1" si="32"/>
        <v>2.1460929557551211E-4</v>
      </c>
      <c r="AF47" s="132">
        <f t="shared" ca="1" si="35"/>
        <v>355.73249521616202</v>
      </c>
      <c r="AH47" s="126">
        <f t="shared" si="8"/>
        <v>45296</v>
      </c>
      <c r="AI47" s="127">
        <f t="shared" si="9"/>
        <v>679.6515819444445</v>
      </c>
    </row>
    <row r="48" spans="1:35" ht="13.8" outlineLevel="1" x14ac:dyDescent="0.3">
      <c r="A48" s="24">
        <f t="shared" si="10"/>
        <v>16</v>
      </c>
      <c r="B48" s="24">
        <f t="shared" si="0"/>
        <v>1</v>
      </c>
      <c r="C48" s="128">
        <f t="shared" si="11"/>
        <v>45327</v>
      </c>
      <c r="D48" s="129" t="str">
        <f t="shared" si="1"/>
        <v/>
      </c>
      <c r="E48" s="130">
        <f t="shared" si="36"/>
        <v>16</v>
      </c>
      <c r="F48" s="130">
        <f t="shared" si="13"/>
        <v>16</v>
      </c>
      <c r="G48" s="131">
        <f t="shared" si="14"/>
        <v>360</v>
      </c>
      <c r="H48" s="132">
        <f t="shared" si="15"/>
        <v>11.5</v>
      </c>
      <c r="I48" s="130">
        <f t="shared" si="16"/>
        <v>31</v>
      </c>
      <c r="J48" s="133">
        <f t="shared" si="17"/>
        <v>28798.5</v>
      </c>
      <c r="K48" s="124">
        <f t="shared" si="18"/>
        <v>371.81847222222234</v>
      </c>
      <c r="L48" s="132">
        <f t="shared" si="19"/>
        <v>271.20999999999998</v>
      </c>
      <c r="M48" s="132">
        <f t="shared" si="20"/>
        <v>4.3031097222222217</v>
      </c>
      <c r="N48" s="132">
        <f t="shared" si="21"/>
        <v>275.51310972222223</v>
      </c>
      <c r="O48" s="132">
        <f t="shared" si="22"/>
        <v>647.33158194444445</v>
      </c>
      <c r="P48" s="132">
        <f t="shared" si="23"/>
        <v>10</v>
      </c>
      <c r="Q48" s="132">
        <f t="shared" si="24"/>
        <v>22.32</v>
      </c>
      <c r="R48" s="132"/>
      <c r="S48" s="125">
        <f t="shared" si="25"/>
        <v>0</v>
      </c>
      <c r="T48" s="132">
        <f t="shared" si="26"/>
        <v>22.32</v>
      </c>
      <c r="U48" s="125">
        <f t="shared" si="27"/>
        <v>679.6515819444445</v>
      </c>
      <c r="V48" s="133">
        <f t="shared" si="5"/>
        <v>28426.68</v>
      </c>
      <c r="W48" s="133">
        <f t="shared" si="6"/>
        <v>0</v>
      </c>
      <c r="X48" s="278">
        <f t="shared" si="28"/>
        <v>271.214</v>
      </c>
      <c r="Y48" s="278">
        <f t="shared" si="29"/>
        <v>-4.0000000000190994E-3</v>
      </c>
      <c r="Z48" s="130">
        <f t="shared" si="30"/>
        <v>488</v>
      </c>
      <c r="AA48" s="125">
        <f t="shared" si="31"/>
        <v>0.86281222694783921</v>
      </c>
      <c r="AB48" s="132">
        <f t="shared" ca="1" si="33"/>
        <v>355.73249521616202</v>
      </c>
      <c r="AC48" s="132">
        <f t="shared" ca="1" si="34"/>
        <v>-3.3499471364255204</v>
      </c>
      <c r="AD48" s="131">
        <f t="shared" ca="1" si="7"/>
        <v>3.3501617457210959</v>
      </c>
      <c r="AE48" s="132">
        <f t="shared" ca="1" si="32"/>
        <v>2.1460929557551211E-4</v>
      </c>
      <c r="AF48" s="132">
        <f t="shared" ca="1" si="35"/>
        <v>359.08244235258752</v>
      </c>
      <c r="AH48" s="126">
        <f t="shared" si="8"/>
        <v>45327</v>
      </c>
      <c r="AI48" s="127">
        <f t="shared" si="9"/>
        <v>679.6515819444445</v>
      </c>
    </row>
    <row r="49" spans="1:35" s="266" customFormat="1" ht="13.8" outlineLevel="1" x14ac:dyDescent="0.3">
      <c r="A49" s="257">
        <f t="shared" si="10"/>
        <v>17</v>
      </c>
      <c r="B49" s="257">
        <f t="shared" si="0"/>
        <v>1</v>
      </c>
      <c r="C49" s="258">
        <f t="shared" si="11"/>
        <v>45356</v>
      </c>
      <c r="D49" s="259" t="str">
        <f t="shared" si="1"/>
        <v/>
      </c>
      <c r="E49" s="260">
        <f t="shared" si="36"/>
        <v>17</v>
      </c>
      <c r="F49" s="260">
        <f t="shared" si="13"/>
        <v>17</v>
      </c>
      <c r="G49" s="261">
        <f t="shared" si="14"/>
        <v>360</v>
      </c>
      <c r="H49" s="262">
        <f t="shared" si="15"/>
        <v>11.5</v>
      </c>
      <c r="I49" s="260">
        <f t="shared" si="16"/>
        <v>29</v>
      </c>
      <c r="J49" s="263">
        <f t="shared" si="17"/>
        <v>28426.68</v>
      </c>
      <c r="K49" s="264">
        <f t="shared" si="18"/>
        <v>394.37847222222229</v>
      </c>
      <c r="L49" s="262">
        <f t="shared" si="19"/>
        <v>250.36</v>
      </c>
      <c r="M49" s="262">
        <f t="shared" si="20"/>
        <v>4.3031097222222217</v>
      </c>
      <c r="N49" s="262">
        <f t="shared" si="21"/>
        <v>254.66310972222223</v>
      </c>
      <c r="O49" s="262">
        <f t="shared" si="22"/>
        <v>649.04158194444449</v>
      </c>
      <c r="P49" s="262">
        <f t="shared" si="23"/>
        <v>10</v>
      </c>
      <c r="Q49" s="262">
        <f t="shared" si="24"/>
        <v>20.61</v>
      </c>
      <c r="R49" s="262"/>
      <c r="S49" s="265">
        <f t="shared" si="25"/>
        <v>0</v>
      </c>
      <c r="T49" s="262">
        <f t="shared" si="26"/>
        <v>20.61</v>
      </c>
      <c r="U49" s="265">
        <f t="shared" si="27"/>
        <v>679.6515819444445</v>
      </c>
      <c r="V49" s="263">
        <f t="shared" si="5"/>
        <v>28032.3</v>
      </c>
      <c r="W49" s="263">
        <f t="shared" si="6"/>
        <v>0</v>
      </c>
      <c r="X49" s="278">
        <f t="shared" si="28"/>
        <v>250.3647</v>
      </c>
      <c r="Y49" s="278">
        <f t="shared" si="29"/>
        <v>-4.6999999999854936E-3</v>
      </c>
      <c r="Z49" s="260">
        <f t="shared" si="30"/>
        <v>517</v>
      </c>
      <c r="AA49" s="265">
        <f t="shared" si="31"/>
        <v>0.85527945081570578</v>
      </c>
      <c r="AB49" s="262">
        <f t="shared" ca="1" si="33"/>
        <v>359.08244235258752</v>
      </c>
      <c r="AC49" s="262">
        <f t="shared" ca="1" si="34"/>
        <v>-3.1623630121380049</v>
      </c>
      <c r="AD49" s="261">
        <f t="shared" ca="1" si="7"/>
        <v>3.1625776214335803</v>
      </c>
      <c r="AE49" s="262">
        <f t="shared" ca="1" si="32"/>
        <v>2.1460929557551211E-4</v>
      </c>
      <c r="AF49" s="262">
        <f t="shared" ca="1" si="35"/>
        <v>362.24480536472555</v>
      </c>
      <c r="AH49" s="267">
        <f t="shared" si="8"/>
        <v>45356</v>
      </c>
      <c r="AI49" s="268">
        <f t="shared" si="9"/>
        <v>679.6515819444445</v>
      </c>
    </row>
    <row r="50" spans="1:35" ht="13.8" outlineLevel="1" x14ac:dyDescent="0.3">
      <c r="A50" s="24">
        <f t="shared" si="10"/>
        <v>18</v>
      </c>
      <c r="B50" s="24">
        <f t="shared" si="0"/>
        <v>1</v>
      </c>
      <c r="C50" s="128">
        <f t="shared" si="11"/>
        <v>45387</v>
      </c>
      <c r="D50" s="129" t="str">
        <f t="shared" si="1"/>
        <v/>
      </c>
      <c r="E50" s="130">
        <f t="shared" si="36"/>
        <v>18</v>
      </c>
      <c r="F50" s="130">
        <f t="shared" si="13"/>
        <v>18</v>
      </c>
      <c r="G50" s="131">
        <f t="shared" si="14"/>
        <v>360</v>
      </c>
      <c r="H50" s="132">
        <f t="shared" si="15"/>
        <v>11.5</v>
      </c>
      <c r="I50" s="130">
        <f t="shared" si="16"/>
        <v>31</v>
      </c>
      <c r="J50" s="133">
        <f t="shared" si="17"/>
        <v>28032.3</v>
      </c>
      <c r="K50" s="124">
        <f t="shared" si="18"/>
        <v>379.61847222222229</v>
      </c>
      <c r="L50" s="132">
        <f t="shared" si="19"/>
        <v>264</v>
      </c>
      <c r="M50" s="132">
        <f t="shared" si="20"/>
        <v>4.3031097222222217</v>
      </c>
      <c r="N50" s="132">
        <f t="shared" si="21"/>
        <v>268.30310972222225</v>
      </c>
      <c r="O50" s="132">
        <f t="shared" si="22"/>
        <v>647.92158194444448</v>
      </c>
      <c r="P50" s="132">
        <f t="shared" si="23"/>
        <v>10</v>
      </c>
      <c r="Q50" s="132">
        <f t="shared" si="24"/>
        <v>21.73</v>
      </c>
      <c r="R50" s="132"/>
      <c r="S50" s="125">
        <f t="shared" si="25"/>
        <v>0</v>
      </c>
      <c r="T50" s="132">
        <f t="shared" si="26"/>
        <v>21.73</v>
      </c>
      <c r="U50" s="125">
        <f t="shared" si="27"/>
        <v>679.6515819444445</v>
      </c>
      <c r="V50" s="133">
        <f t="shared" si="5"/>
        <v>27652.68</v>
      </c>
      <c r="W50" s="133">
        <f t="shared" si="6"/>
        <v>0</v>
      </c>
      <c r="X50" s="278">
        <f t="shared" si="28"/>
        <v>263.9982</v>
      </c>
      <c r="Y50" s="278">
        <f t="shared" si="29"/>
        <v>1.8000000000029104E-3</v>
      </c>
      <c r="Z50" s="130">
        <f t="shared" si="30"/>
        <v>548</v>
      </c>
      <c r="AA50" s="125">
        <f t="shared" si="31"/>
        <v>0.84729988276230261</v>
      </c>
      <c r="AB50" s="132">
        <f t="shared" ca="1" si="33"/>
        <v>362.24480536472555</v>
      </c>
      <c r="AC50" s="132">
        <f t="shared" ca="1" si="34"/>
        <v>-3.4112777503823124</v>
      </c>
      <c r="AD50" s="131">
        <f t="shared" ca="1" si="7"/>
        <v>3.4114923596778879</v>
      </c>
      <c r="AE50" s="132">
        <f t="shared" ca="1" si="32"/>
        <v>2.1460929557551211E-4</v>
      </c>
      <c r="AF50" s="132">
        <f t="shared" ca="1" si="35"/>
        <v>365.65608311510789</v>
      </c>
      <c r="AH50" s="126">
        <f t="shared" si="8"/>
        <v>45387</v>
      </c>
      <c r="AI50" s="127">
        <f t="shared" si="9"/>
        <v>679.6515819444445</v>
      </c>
    </row>
    <row r="51" spans="1:35" ht="13.8" outlineLevel="1" x14ac:dyDescent="0.3">
      <c r="A51" s="24">
        <f t="shared" si="10"/>
        <v>19</v>
      </c>
      <c r="B51" s="24">
        <f t="shared" si="0"/>
        <v>1</v>
      </c>
      <c r="C51" s="128">
        <f t="shared" si="11"/>
        <v>45417</v>
      </c>
      <c r="D51" s="129" t="str">
        <f t="shared" si="1"/>
        <v/>
      </c>
      <c r="E51" s="130">
        <f t="shared" si="36"/>
        <v>19</v>
      </c>
      <c r="F51" s="130">
        <f t="shared" si="13"/>
        <v>19</v>
      </c>
      <c r="G51" s="131">
        <f t="shared" si="14"/>
        <v>360</v>
      </c>
      <c r="H51" s="132">
        <f t="shared" si="15"/>
        <v>11.5</v>
      </c>
      <c r="I51" s="130">
        <f t="shared" si="16"/>
        <v>30</v>
      </c>
      <c r="J51" s="133">
        <f t="shared" si="17"/>
        <v>27652.68</v>
      </c>
      <c r="K51" s="124">
        <f t="shared" si="18"/>
        <v>392.62847222222229</v>
      </c>
      <c r="L51" s="132">
        <f t="shared" si="19"/>
        <v>251.98</v>
      </c>
      <c r="M51" s="132">
        <f t="shared" si="20"/>
        <v>4.3031097222222217</v>
      </c>
      <c r="N51" s="132">
        <f t="shared" si="21"/>
        <v>256.28310972222221</v>
      </c>
      <c r="O51" s="132">
        <f t="shared" si="22"/>
        <v>648.91158194444449</v>
      </c>
      <c r="P51" s="132">
        <f t="shared" si="23"/>
        <v>10</v>
      </c>
      <c r="Q51" s="132">
        <f t="shared" si="24"/>
        <v>20.74</v>
      </c>
      <c r="R51" s="132"/>
      <c r="S51" s="125">
        <f t="shared" si="25"/>
        <v>0</v>
      </c>
      <c r="T51" s="132">
        <f t="shared" si="26"/>
        <v>20.74</v>
      </c>
      <c r="U51" s="125">
        <f t="shared" si="27"/>
        <v>679.6515819444445</v>
      </c>
      <c r="V51" s="133">
        <f t="shared" si="5"/>
        <v>27260.05</v>
      </c>
      <c r="W51" s="133">
        <f t="shared" si="6"/>
        <v>0</v>
      </c>
      <c r="X51" s="278">
        <f t="shared" si="28"/>
        <v>251.98419999999999</v>
      </c>
      <c r="Y51" s="278">
        <f t="shared" si="29"/>
        <v>-4.199999999997317E-3</v>
      </c>
      <c r="Z51" s="130">
        <f t="shared" si="30"/>
        <v>578</v>
      </c>
      <c r="AA51" s="125">
        <f t="shared" si="31"/>
        <v>0.8396486112937972</v>
      </c>
      <c r="AB51" s="132">
        <f t="shared" ca="1" si="33"/>
        <v>365.65608311510789</v>
      </c>
      <c r="AC51" s="132">
        <f t="shared" ca="1" si="34"/>
        <v>-3.3318149068530132</v>
      </c>
      <c r="AD51" s="131">
        <f t="shared" ca="1" si="7"/>
        <v>3.3320295161485887</v>
      </c>
      <c r="AE51" s="132">
        <f t="shared" ca="1" si="32"/>
        <v>2.1460929557551211E-4</v>
      </c>
      <c r="AF51" s="132">
        <f t="shared" ca="1" si="35"/>
        <v>368.98789802196092</v>
      </c>
      <c r="AH51" s="126">
        <f t="shared" si="8"/>
        <v>45417</v>
      </c>
      <c r="AI51" s="127">
        <f t="shared" si="9"/>
        <v>679.6515819444445</v>
      </c>
    </row>
    <row r="52" spans="1:35" ht="13.8" outlineLevel="1" x14ac:dyDescent="0.3">
      <c r="A52" s="24">
        <f t="shared" si="10"/>
        <v>20</v>
      </c>
      <c r="B52" s="24">
        <f t="shared" si="0"/>
        <v>1</v>
      </c>
      <c r="C52" s="128">
        <f t="shared" si="11"/>
        <v>45448</v>
      </c>
      <c r="D52" s="129" t="str">
        <f t="shared" si="1"/>
        <v/>
      </c>
      <c r="E52" s="130">
        <f t="shared" si="36"/>
        <v>20</v>
      </c>
      <c r="F52" s="130">
        <f t="shared" si="13"/>
        <v>20</v>
      </c>
      <c r="G52" s="131">
        <f t="shared" si="14"/>
        <v>360</v>
      </c>
      <c r="H52" s="132">
        <f t="shared" si="15"/>
        <v>11.5</v>
      </c>
      <c r="I52" s="130">
        <f t="shared" si="16"/>
        <v>31</v>
      </c>
      <c r="J52" s="133">
        <f t="shared" si="17"/>
        <v>27260.05</v>
      </c>
      <c r="K52" s="124">
        <f t="shared" si="18"/>
        <v>387.4884722222223</v>
      </c>
      <c r="L52" s="132">
        <f t="shared" si="19"/>
        <v>256.73</v>
      </c>
      <c r="M52" s="132">
        <f t="shared" si="20"/>
        <v>4.3031097222222217</v>
      </c>
      <c r="N52" s="132">
        <f t="shared" si="21"/>
        <v>261.03310972222226</v>
      </c>
      <c r="O52" s="132">
        <f t="shared" si="22"/>
        <v>648.52158194444451</v>
      </c>
      <c r="P52" s="132">
        <f t="shared" si="23"/>
        <v>10</v>
      </c>
      <c r="Q52" s="132">
        <f t="shared" si="24"/>
        <v>21.13</v>
      </c>
      <c r="R52" s="132"/>
      <c r="S52" s="125">
        <f t="shared" si="25"/>
        <v>0</v>
      </c>
      <c r="T52" s="132">
        <f t="shared" si="26"/>
        <v>21.13</v>
      </c>
      <c r="U52" s="125">
        <f t="shared" si="27"/>
        <v>679.6515819444445</v>
      </c>
      <c r="V52" s="133">
        <f t="shared" si="5"/>
        <v>26872.560000000001</v>
      </c>
      <c r="W52" s="133">
        <f t="shared" si="6"/>
        <v>0</v>
      </c>
      <c r="X52" s="278">
        <f t="shared" si="28"/>
        <v>256.72539999999998</v>
      </c>
      <c r="Y52" s="278">
        <f t="shared" si="29"/>
        <v>4.6000000000390173E-3</v>
      </c>
      <c r="Z52" s="130">
        <f t="shared" si="30"/>
        <v>609</v>
      </c>
      <c r="AA52" s="125">
        <f t="shared" si="31"/>
        <v>0.83181487551495426</v>
      </c>
      <c r="AB52" s="132">
        <f t="shared" ca="1" si="33"/>
        <v>368.98789802196092</v>
      </c>
      <c r="AC52" s="132">
        <f t="shared" ca="1" si="34"/>
        <v>-3.4747817916827719</v>
      </c>
      <c r="AD52" s="131">
        <f t="shared" ca="1" si="7"/>
        <v>3.4749964009783474</v>
      </c>
      <c r="AE52" s="132">
        <f t="shared" ca="1" si="32"/>
        <v>2.1460929557551211E-4</v>
      </c>
      <c r="AF52" s="132">
        <f t="shared" ca="1" si="35"/>
        <v>372.46267981364366</v>
      </c>
      <c r="AH52" s="126">
        <f t="shared" si="8"/>
        <v>45448</v>
      </c>
      <c r="AI52" s="127">
        <f t="shared" si="9"/>
        <v>679.6515819444445</v>
      </c>
    </row>
    <row r="53" spans="1:35" s="266" customFormat="1" ht="13.8" outlineLevel="1" x14ac:dyDescent="0.3">
      <c r="A53" s="257">
        <f t="shared" si="10"/>
        <v>21</v>
      </c>
      <c r="B53" s="257">
        <f t="shared" si="0"/>
        <v>1</v>
      </c>
      <c r="C53" s="258">
        <f t="shared" si="11"/>
        <v>45478</v>
      </c>
      <c r="D53" s="259" t="str">
        <f t="shared" si="1"/>
        <v/>
      </c>
      <c r="E53" s="260">
        <f t="shared" si="36"/>
        <v>21</v>
      </c>
      <c r="F53" s="260">
        <f t="shared" si="13"/>
        <v>21</v>
      </c>
      <c r="G53" s="261">
        <f t="shared" si="14"/>
        <v>360</v>
      </c>
      <c r="H53" s="262">
        <f t="shared" si="15"/>
        <v>11.5</v>
      </c>
      <c r="I53" s="260">
        <f t="shared" si="16"/>
        <v>30</v>
      </c>
      <c r="J53" s="263">
        <f t="shared" si="17"/>
        <v>26872.560000000001</v>
      </c>
      <c r="K53" s="264">
        <f t="shared" si="18"/>
        <v>400.31847222222234</v>
      </c>
      <c r="L53" s="262">
        <f t="shared" si="19"/>
        <v>244.88</v>
      </c>
      <c r="M53" s="262">
        <f t="shared" si="20"/>
        <v>4.3031097222222217</v>
      </c>
      <c r="N53" s="262">
        <f t="shared" si="21"/>
        <v>249.18310972222221</v>
      </c>
      <c r="O53" s="262">
        <f t="shared" si="22"/>
        <v>649.50158194444452</v>
      </c>
      <c r="P53" s="262">
        <f t="shared" si="23"/>
        <v>10</v>
      </c>
      <c r="Q53" s="262">
        <f t="shared" si="24"/>
        <v>20.149999999999999</v>
      </c>
      <c r="R53" s="262"/>
      <c r="S53" s="265">
        <f t="shared" si="25"/>
        <v>0</v>
      </c>
      <c r="T53" s="262">
        <f t="shared" si="26"/>
        <v>20.149999999999999</v>
      </c>
      <c r="U53" s="265">
        <f t="shared" si="27"/>
        <v>679.6515819444445</v>
      </c>
      <c r="V53" s="263">
        <f t="shared" si="5"/>
        <v>26472.240000000002</v>
      </c>
      <c r="W53" s="263">
        <f t="shared" si="6"/>
        <v>0</v>
      </c>
      <c r="X53" s="278">
        <f t="shared" si="28"/>
        <v>244.87540000000001</v>
      </c>
      <c r="Y53" s="278">
        <f t="shared" si="29"/>
        <v>4.5999999999821739E-3</v>
      </c>
      <c r="Z53" s="260">
        <f t="shared" si="30"/>
        <v>639</v>
      </c>
      <c r="AA53" s="265">
        <f t="shared" si="31"/>
        <v>0.8243034364677102</v>
      </c>
      <c r="AB53" s="262">
        <f t="shared" ca="1" si="33"/>
        <v>372.46267981364366</v>
      </c>
      <c r="AC53" s="262">
        <f t="shared" ca="1" si="34"/>
        <v>-3.3938398044311597</v>
      </c>
      <c r="AD53" s="261">
        <f t="shared" ca="1" si="7"/>
        <v>3.3940544137267352</v>
      </c>
      <c r="AE53" s="262">
        <f t="shared" ca="1" si="32"/>
        <v>2.1460929557551211E-4</v>
      </c>
      <c r="AF53" s="262">
        <f t="shared" ca="1" si="35"/>
        <v>375.8565196180748</v>
      </c>
      <c r="AH53" s="267">
        <f t="shared" si="8"/>
        <v>45478</v>
      </c>
      <c r="AI53" s="268">
        <f t="shared" si="9"/>
        <v>679.6515819444445</v>
      </c>
    </row>
    <row r="54" spans="1:35" ht="13.8" outlineLevel="1" x14ac:dyDescent="0.3">
      <c r="A54" s="24">
        <f t="shared" si="10"/>
        <v>22</v>
      </c>
      <c r="B54" s="24">
        <f t="shared" si="0"/>
        <v>1</v>
      </c>
      <c r="C54" s="128">
        <f t="shared" si="11"/>
        <v>45509</v>
      </c>
      <c r="D54" s="129" t="str">
        <f t="shared" si="1"/>
        <v/>
      </c>
      <c r="E54" s="130">
        <f t="shared" si="36"/>
        <v>22</v>
      </c>
      <c r="F54" s="130">
        <f t="shared" si="13"/>
        <v>22</v>
      </c>
      <c r="G54" s="131">
        <f t="shared" si="14"/>
        <v>360</v>
      </c>
      <c r="H54" s="132">
        <f t="shared" si="15"/>
        <v>11.5</v>
      </c>
      <c r="I54" s="130">
        <f t="shared" si="16"/>
        <v>31</v>
      </c>
      <c r="J54" s="133">
        <f t="shared" si="17"/>
        <v>26472.240000000002</v>
      </c>
      <c r="K54" s="124">
        <f t="shared" ref="K54:K81" si="37">IF(B54="","",IF(((IF(ISERROR(MATCH(MONTH(C54),$H$18:$H$19,0))=FALSE,$J$24 + $Q$28,0) + $J$24+$Q$28+$S$26)-(IF($J$24+$Q$28 + $S$26&lt;ROUND(ROUND(J54*(((1+(H54/100))^(I54/G54))-1),4),2),$J$24+$Q$28 + $S$26-0.01,IF(ROUND(ROUND(J54*(((1+(H54/100))^(I54/G54))-1),4),2)+ $S$26&gt;$J$24,$J$24+ $S$26+-0.01,ROUND(ROUND(J54*(((1+(H54/100))^(I54/G54))-1),4),2)+$S$26)))- Q54-R54-S54)&lt;0,0.01,IF(ISERROR(MATCH(MONTH(C54),$H$18:$H$19,0))=FALSE,$J$24 + $Q$28,0)+ ($J$24+$Q$28+$S$26)-(IF($J$24+$Q$28 + $S$26&lt;ROUND(ROUND(J54*(((1+(H54/100))^(I54/G54))-1),4),2),$J$24+$Q$28 + $S$26-0.01,IF(ROUND(ROUND(J54*(((1+(H54/100))^(I54/G54))-1),4),2)+ $S$26&gt;$J$24,$J$24+ $S$26+-0.01,ROUND(ROUND(J54*(((1+(H54/100))^(I54/G54))-1),4),2)+$S$26)))- Q54-R54-S54))</f>
        <v>395.51847222222233</v>
      </c>
      <c r="L54" s="132">
        <f t="shared" ref="L54:L81" si="38">IF(B54="","",IF(K54=0.01,+$J$24-K54-Q54-R54-S54+$Q$28,IF($J$24+$Q$28 + $S$26&lt;ROUND(ROUND(J54*(((1+(H54/100))^(I54/G54))-1),4),2),$J$24+$Q$28 + $S$26-0.01,IF(ROUND(ROUND(J54*(((1+(H54/100))^(I54/G54))-1),4),2)+ $S$26&gt;$J$24,$J$24+ $S$26+-0.01,ROUND(ROUND(J54*(((1+(H54/100))^(I54/G54))-1),4),2)+$S$26))))</f>
        <v>249.31</v>
      </c>
      <c r="M54" s="132">
        <f t="shared" si="20"/>
        <v>4.3031097222222217</v>
      </c>
      <c r="N54" s="132">
        <f t="shared" si="21"/>
        <v>253.61310972222222</v>
      </c>
      <c r="O54" s="132">
        <f t="shared" si="22"/>
        <v>649.13158194444452</v>
      </c>
      <c r="P54" s="132">
        <f t="shared" si="23"/>
        <v>10</v>
      </c>
      <c r="Q54" s="132">
        <f t="shared" si="24"/>
        <v>20.52</v>
      </c>
      <c r="R54" s="132"/>
      <c r="S54" s="125">
        <f t="shared" si="25"/>
        <v>0</v>
      </c>
      <c r="T54" s="132">
        <f t="shared" si="26"/>
        <v>20.52</v>
      </c>
      <c r="U54" s="125">
        <f t="shared" si="27"/>
        <v>679.6515819444445</v>
      </c>
      <c r="V54" s="133">
        <f t="shared" si="5"/>
        <v>26076.720000000001</v>
      </c>
      <c r="W54" s="133">
        <f t="shared" si="6"/>
        <v>0</v>
      </c>
      <c r="X54" s="278">
        <f t="shared" si="28"/>
        <v>249.30609999999999</v>
      </c>
      <c r="Y54" s="278">
        <f t="shared" si="29"/>
        <v>3.9000000000157797E-3</v>
      </c>
      <c r="Z54" s="130">
        <f t="shared" si="30"/>
        <v>670</v>
      </c>
      <c r="AA54" s="125">
        <f t="shared" si="31"/>
        <v>0.81661286777501585</v>
      </c>
      <c r="AB54" s="132">
        <f t="shared" ca="1" si="33"/>
        <v>375.8565196180748</v>
      </c>
      <c r="AC54" s="132">
        <f t="shared" ca="1" si="34"/>
        <v>-3.5394680197518489</v>
      </c>
      <c r="AD54" s="131">
        <f t="shared" ca="1" si="7"/>
        <v>3.5396826290474244</v>
      </c>
      <c r="AE54" s="132">
        <f t="shared" ca="1" si="32"/>
        <v>2.1460929557551211E-4</v>
      </c>
      <c r="AF54" s="132">
        <f t="shared" ca="1" si="35"/>
        <v>379.39598763782664</v>
      </c>
      <c r="AH54" s="126">
        <f t="shared" si="8"/>
        <v>45509</v>
      </c>
      <c r="AI54" s="127">
        <f t="shared" si="9"/>
        <v>679.6515819444445</v>
      </c>
    </row>
    <row r="55" spans="1:35" ht="13.8" outlineLevel="1" x14ac:dyDescent="0.3">
      <c r="A55" s="24">
        <f t="shared" si="10"/>
        <v>23</v>
      </c>
      <c r="B55" s="24">
        <f t="shared" si="0"/>
        <v>1</v>
      </c>
      <c r="C55" s="128">
        <f t="shared" si="11"/>
        <v>45540</v>
      </c>
      <c r="D55" s="129" t="str">
        <f t="shared" si="1"/>
        <v/>
      </c>
      <c r="E55" s="130">
        <f t="shared" si="36"/>
        <v>23</v>
      </c>
      <c r="F55" s="130">
        <f t="shared" si="13"/>
        <v>23</v>
      </c>
      <c r="G55" s="131">
        <f t="shared" si="14"/>
        <v>360</v>
      </c>
      <c r="H55" s="132">
        <f t="shared" si="15"/>
        <v>11.5</v>
      </c>
      <c r="I55" s="130">
        <f t="shared" si="16"/>
        <v>31</v>
      </c>
      <c r="J55" s="133">
        <f t="shared" si="17"/>
        <v>26076.720000000001</v>
      </c>
      <c r="K55" s="124">
        <f t="shared" si="37"/>
        <v>399.55847222222229</v>
      </c>
      <c r="L55" s="132">
        <f t="shared" si="38"/>
        <v>245.58</v>
      </c>
      <c r="M55" s="132">
        <f t="shared" si="20"/>
        <v>4.3031097222222217</v>
      </c>
      <c r="N55" s="132">
        <f t="shared" si="21"/>
        <v>249.88310972222223</v>
      </c>
      <c r="O55" s="132">
        <f t="shared" si="22"/>
        <v>649.44158194444447</v>
      </c>
      <c r="P55" s="132">
        <f t="shared" si="23"/>
        <v>10</v>
      </c>
      <c r="Q55" s="132">
        <f t="shared" si="24"/>
        <v>20.21</v>
      </c>
      <c r="R55" s="132"/>
      <c r="S55" s="125">
        <f t="shared" si="25"/>
        <v>0</v>
      </c>
      <c r="T55" s="132">
        <f t="shared" si="26"/>
        <v>20.21</v>
      </c>
      <c r="U55" s="125">
        <f t="shared" si="27"/>
        <v>679.6515819444445</v>
      </c>
      <c r="V55" s="133">
        <f t="shared" si="5"/>
        <v>25677.16</v>
      </c>
      <c r="W55" s="133">
        <f t="shared" si="6"/>
        <v>0</v>
      </c>
      <c r="X55" s="278">
        <f t="shared" si="28"/>
        <v>245.5812</v>
      </c>
      <c r="Y55" s="278">
        <f t="shared" si="29"/>
        <v>-1.1999999999829924E-3</v>
      </c>
      <c r="Z55" s="130">
        <f t="shared" si="30"/>
        <v>701</v>
      </c>
      <c r="AA55" s="125">
        <f t="shared" si="31"/>
        <v>0.80899405038675698</v>
      </c>
      <c r="AB55" s="132">
        <f t="shared" ca="1" si="33"/>
        <v>379.39598763782664</v>
      </c>
      <c r="AC55" s="132">
        <f t="shared" ca="1" si="34"/>
        <v>-3.5728014669894153</v>
      </c>
      <c r="AD55" s="131">
        <f t="shared" ca="1" si="7"/>
        <v>3.5730160762849907</v>
      </c>
      <c r="AE55" s="132">
        <f t="shared" ca="1" si="32"/>
        <v>2.1460929557551211E-4</v>
      </c>
      <c r="AF55" s="132">
        <f t="shared" ca="1" si="35"/>
        <v>382.96878910481604</v>
      </c>
      <c r="AH55" s="126">
        <f t="shared" si="8"/>
        <v>45540</v>
      </c>
      <c r="AI55" s="127">
        <f t="shared" si="9"/>
        <v>679.6515819444445</v>
      </c>
    </row>
    <row r="56" spans="1:35" ht="13.8" outlineLevel="1" x14ac:dyDescent="0.3">
      <c r="A56" s="24">
        <f t="shared" si="10"/>
        <v>24</v>
      </c>
      <c r="B56" s="24">
        <f t="shared" si="0"/>
        <v>1</v>
      </c>
      <c r="C56" s="128">
        <f t="shared" si="11"/>
        <v>45570</v>
      </c>
      <c r="D56" s="129" t="str">
        <f t="shared" si="1"/>
        <v/>
      </c>
      <c r="E56" s="130">
        <f t="shared" si="36"/>
        <v>24</v>
      </c>
      <c r="F56" s="130">
        <f t="shared" si="13"/>
        <v>24</v>
      </c>
      <c r="G56" s="131">
        <f t="shared" si="14"/>
        <v>360</v>
      </c>
      <c r="H56" s="132">
        <f t="shared" si="15"/>
        <v>11.5</v>
      </c>
      <c r="I56" s="130">
        <f t="shared" si="16"/>
        <v>30</v>
      </c>
      <c r="J56" s="133">
        <f t="shared" si="17"/>
        <v>25677.16</v>
      </c>
      <c r="K56" s="124">
        <f t="shared" si="37"/>
        <v>412.1084722222223</v>
      </c>
      <c r="L56" s="132">
        <f t="shared" si="38"/>
        <v>233.98</v>
      </c>
      <c r="M56" s="132">
        <f t="shared" si="20"/>
        <v>4.3031097222222217</v>
      </c>
      <c r="N56" s="132">
        <f t="shared" si="21"/>
        <v>238.28310972222221</v>
      </c>
      <c r="O56" s="132">
        <f t="shared" si="22"/>
        <v>650.39158194444451</v>
      </c>
      <c r="P56" s="132">
        <f t="shared" si="23"/>
        <v>10</v>
      </c>
      <c r="Q56" s="132">
        <f t="shared" si="24"/>
        <v>19.260000000000002</v>
      </c>
      <c r="R56" s="132"/>
      <c r="S56" s="125">
        <f t="shared" si="25"/>
        <v>0</v>
      </c>
      <c r="T56" s="132">
        <f t="shared" si="26"/>
        <v>19.260000000000002</v>
      </c>
      <c r="U56" s="125">
        <f t="shared" si="27"/>
        <v>679.6515819444445</v>
      </c>
      <c r="V56" s="133">
        <f t="shared" si="5"/>
        <v>25265.05</v>
      </c>
      <c r="W56" s="133">
        <f t="shared" si="6"/>
        <v>0</v>
      </c>
      <c r="X56" s="278">
        <f t="shared" si="28"/>
        <v>233.98230000000001</v>
      </c>
      <c r="Y56" s="278">
        <f t="shared" si="29"/>
        <v>-2.3000000000195087E-3</v>
      </c>
      <c r="Z56" s="130">
        <f t="shared" si="30"/>
        <v>731</v>
      </c>
      <c r="AA56" s="125">
        <f t="shared" si="31"/>
        <v>0.80168868752545774</v>
      </c>
      <c r="AB56" s="132">
        <f t="shared" ca="1" si="33"/>
        <v>382.96878910481604</v>
      </c>
      <c r="AC56" s="132">
        <f t="shared" ca="1" si="34"/>
        <v>-3.489576393741638</v>
      </c>
      <c r="AD56" s="131">
        <f t="shared" ca="1" si="7"/>
        <v>3.4897910030372135</v>
      </c>
      <c r="AE56" s="132">
        <f t="shared" ca="1" si="32"/>
        <v>2.1460929557551211E-4</v>
      </c>
      <c r="AF56" s="132">
        <f t="shared" ca="1" si="35"/>
        <v>386.45836549855767</v>
      </c>
      <c r="AH56" s="126">
        <f t="shared" si="8"/>
        <v>45570</v>
      </c>
      <c r="AI56" s="127">
        <f t="shared" si="9"/>
        <v>679.6515819444445</v>
      </c>
    </row>
    <row r="57" spans="1:35" ht="13.8" outlineLevel="1" x14ac:dyDescent="0.3">
      <c r="A57" s="24">
        <f t="shared" si="10"/>
        <v>25</v>
      </c>
      <c r="B57" s="24">
        <f t="shared" si="0"/>
        <v>1</v>
      </c>
      <c r="C57" s="128">
        <f t="shared" si="11"/>
        <v>45601</v>
      </c>
      <c r="D57" s="129" t="str">
        <f t="shared" si="1"/>
        <v/>
      </c>
      <c r="E57" s="130">
        <f t="shared" si="36"/>
        <v>25</v>
      </c>
      <c r="F57" s="130">
        <f t="shared" si="13"/>
        <v>25</v>
      </c>
      <c r="G57" s="131">
        <f t="shared" si="14"/>
        <v>360</v>
      </c>
      <c r="H57" s="132">
        <f t="shared" si="15"/>
        <v>11.5</v>
      </c>
      <c r="I57" s="130">
        <f t="shared" si="16"/>
        <v>31</v>
      </c>
      <c r="J57" s="133">
        <f t="shared" si="17"/>
        <v>25265.05</v>
      </c>
      <c r="K57" s="124">
        <f t="shared" si="37"/>
        <v>407.82847222222233</v>
      </c>
      <c r="L57" s="132">
        <f t="shared" si="38"/>
        <v>237.94</v>
      </c>
      <c r="M57" s="132">
        <f t="shared" si="20"/>
        <v>4.3031097222222217</v>
      </c>
      <c r="N57" s="132">
        <f t="shared" si="21"/>
        <v>242.24310972222221</v>
      </c>
      <c r="O57" s="132">
        <f t="shared" si="22"/>
        <v>650.07158194444446</v>
      </c>
      <c r="P57" s="132">
        <f t="shared" si="23"/>
        <v>10</v>
      </c>
      <c r="Q57" s="132">
        <f t="shared" si="24"/>
        <v>19.579999999999998</v>
      </c>
      <c r="R57" s="132"/>
      <c r="S57" s="125">
        <f t="shared" si="25"/>
        <v>0</v>
      </c>
      <c r="T57" s="132">
        <f t="shared" si="26"/>
        <v>19.579999999999998</v>
      </c>
      <c r="U57" s="125">
        <f t="shared" si="27"/>
        <v>679.6515819444445</v>
      </c>
      <c r="V57" s="133">
        <f t="shared" si="5"/>
        <v>24857.22</v>
      </c>
      <c r="W57" s="133">
        <f t="shared" si="6"/>
        <v>0</v>
      </c>
      <c r="X57" s="278">
        <f t="shared" si="28"/>
        <v>237.93719999999999</v>
      </c>
      <c r="Y57" s="278">
        <f t="shared" si="29"/>
        <v>2.8000000000076852E-3</v>
      </c>
      <c r="Z57" s="130">
        <f t="shared" si="30"/>
        <v>762</v>
      </c>
      <c r="AA57" s="125">
        <f t="shared" si="31"/>
        <v>0.79420910943708956</v>
      </c>
      <c r="AB57" s="132">
        <f t="shared" ca="1" si="33"/>
        <v>386.45836549855767</v>
      </c>
      <c r="AC57" s="132">
        <f t="shared" ca="1" si="34"/>
        <v>-3.639312422443377</v>
      </c>
      <c r="AD57" s="131">
        <f t="shared" ca="1" si="7"/>
        <v>3.6395270317389525</v>
      </c>
      <c r="AE57" s="132">
        <f t="shared" ca="1" si="32"/>
        <v>2.1460929557551211E-4</v>
      </c>
      <c r="AF57" s="132">
        <f t="shared" ca="1" si="35"/>
        <v>390.09767792100104</v>
      </c>
      <c r="AH57" s="126">
        <f t="shared" si="8"/>
        <v>45601</v>
      </c>
      <c r="AI57" s="127">
        <f t="shared" si="9"/>
        <v>679.6515819444445</v>
      </c>
    </row>
    <row r="58" spans="1:35" ht="13.8" outlineLevel="1" x14ac:dyDescent="0.3">
      <c r="A58" s="24">
        <f t="shared" si="10"/>
        <v>26</v>
      </c>
      <c r="B58" s="24">
        <f t="shared" si="0"/>
        <v>1</v>
      </c>
      <c r="C58" s="128">
        <f t="shared" si="11"/>
        <v>45631</v>
      </c>
      <c r="D58" s="129" t="str">
        <f t="shared" si="1"/>
        <v/>
      </c>
      <c r="E58" s="130">
        <f t="shared" si="36"/>
        <v>26</v>
      </c>
      <c r="F58" s="130">
        <f t="shared" si="13"/>
        <v>26</v>
      </c>
      <c r="G58" s="131">
        <f t="shared" si="14"/>
        <v>360</v>
      </c>
      <c r="H58" s="132">
        <f t="shared" si="15"/>
        <v>11.5</v>
      </c>
      <c r="I58" s="130">
        <f t="shared" si="16"/>
        <v>30</v>
      </c>
      <c r="J58" s="133">
        <f t="shared" si="17"/>
        <v>24857.22</v>
      </c>
      <c r="K58" s="124">
        <f t="shared" si="37"/>
        <v>420.19847222222234</v>
      </c>
      <c r="L58" s="132">
        <f t="shared" si="38"/>
        <v>226.51</v>
      </c>
      <c r="M58" s="132">
        <f t="shared" si="20"/>
        <v>4.3031097222222217</v>
      </c>
      <c r="N58" s="132">
        <f t="shared" si="21"/>
        <v>230.81310972222221</v>
      </c>
      <c r="O58" s="132">
        <f t="shared" si="22"/>
        <v>651.01158194444452</v>
      </c>
      <c r="P58" s="132">
        <f t="shared" si="23"/>
        <v>10</v>
      </c>
      <c r="Q58" s="132">
        <f t="shared" si="24"/>
        <v>18.64</v>
      </c>
      <c r="R58" s="132"/>
      <c r="S58" s="125">
        <f t="shared" si="25"/>
        <v>0</v>
      </c>
      <c r="T58" s="132">
        <f t="shared" si="26"/>
        <v>18.64</v>
      </c>
      <c r="U58" s="125">
        <f t="shared" si="27"/>
        <v>679.6515819444445</v>
      </c>
      <c r="V58" s="133">
        <f t="shared" si="5"/>
        <v>24437.02</v>
      </c>
      <c r="W58" s="133">
        <f t="shared" si="6"/>
        <v>0</v>
      </c>
      <c r="X58" s="278">
        <f t="shared" si="28"/>
        <v>226.51060000000001</v>
      </c>
      <c r="Y58" s="278">
        <f t="shared" si="29"/>
        <v>-6.0000000001991793E-4</v>
      </c>
      <c r="Z58" s="130">
        <f t="shared" si="30"/>
        <v>792</v>
      </c>
      <c r="AA58" s="125">
        <f t="shared" si="31"/>
        <v>0.78703725727153462</v>
      </c>
      <c r="AB58" s="132">
        <f t="shared" ca="1" si="33"/>
        <v>390.09767792100104</v>
      </c>
      <c r="AC58" s="132">
        <f t="shared" ca="1" si="34"/>
        <v>-3.554538168069326</v>
      </c>
      <c r="AD58" s="131">
        <f t="shared" ca="1" si="7"/>
        <v>3.5547527773649015</v>
      </c>
      <c r="AE58" s="132">
        <f t="shared" ca="1" si="32"/>
        <v>2.1460929557551211E-4</v>
      </c>
      <c r="AF58" s="132">
        <f t="shared" ca="1" si="35"/>
        <v>393.65221608907035</v>
      </c>
      <c r="AH58" s="126">
        <f t="shared" si="8"/>
        <v>45631</v>
      </c>
      <c r="AI58" s="127">
        <f t="shared" si="9"/>
        <v>679.6515819444445</v>
      </c>
    </row>
    <row r="59" spans="1:35" ht="13.8" outlineLevel="1" x14ac:dyDescent="0.3">
      <c r="A59" s="24">
        <f t="shared" si="10"/>
        <v>27</v>
      </c>
      <c r="B59" s="24">
        <f t="shared" si="0"/>
        <v>1</v>
      </c>
      <c r="C59" s="128">
        <f t="shared" si="11"/>
        <v>45662</v>
      </c>
      <c r="D59" s="129" t="str">
        <f t="shared" si="1"/>
        <v/>
      </c>
      <c r="E59" s="130">
        <f t="shared" si="36"/>
        <v>27</v>
      </c>
      <c r="F59" s="130">
        <f t="shared" si="13"/>
        <v>27</v>
      </c>
      <c r="G59" s="131">
        <f t="shared" si="14"/>
        <v>360</v>
      </c>
      <c r="H59" s="132">
        <f t="shared" si="15"/>
        <v>11.5</v>
      </c>
      <c r="I59" s="130">
        <f t="shared" si="16"/>
        <v>31</v>
      </c>
      <c r="J59" s="133">
        <f t="shared" si="17"/>
        <v>24437.02</v>
      </c>
      <c r="K59" s="124">
        <f t="shared" si="37"/>
        <v>416.26847222222233</v>
      </c>
      <c r="L59" s="132">
        <f t="shared" si="38"/>
        <v>230.14</v>
      </c>
      <c r="M59" s="132">
        <f t="shared" si="20"/>
        <v>4.3031097222222217</v>
      </c>
      <c r="N59" s="132">
        <f t="shared" si="21"/>
        <v>234.4431097222222</v>
      </c>
      <c r="O59" s="132">
        <f t="shared" si="22"/>
        <v>650.71158194444456</v>
      </c>
      <c r="P59" s="132">
        <f t="shared" si="23"/>
        <v>10</v>
      </c>
      <c r="Q59" s="132">
        <f t="shared" si="24"/>
        <v>18.940000000000001</v>
      </c>
      <c r="R59" s="132"/>
      <c r="S59" s="125">
        <f t="shared" si="25"/>
        <v>0</v>
      </c>
      <c r="T59" s="132">
        <f t="shared" si="26"/>
        <v>18.940000000000001</v>
      </c>
      <c r="U59" s="125">
        <f t="shared" si="27"/>
        <v>679.65158194444462</v>
      </c>
      <c r="V59" s="133">
        <f t="shared" si="5"/>
        <v>24020.75</v>
      </c>
      <c r="W59" s="133">
        <f t="shared" si="6"/>
        <v>0</v>
      </c>
      <c r="X59" s="278">
        <f t="shared" si="28"/>
        <v>230.13910000000001</v>
      </c>
      <c r="Y59" s="278">
        <f t="shared" si="29"/>
        <v>8.9999999997303348E-4</v>
      </c>
      <c r="Z59" s="130">
        <f t="shared" si="30"/>
        <v>823</v>
      </c>
      <c r="AA59" s="125">
        <f t="shared" si="31"/>
        <v>0.77969437378594164</v>
      </c>
      <c r="AB59" s="132">
        <f t="shared" ca="1" si="33"/>
        <v>393.65221608907035</v>
      </c>
      <c r="AC59" s="132">
        <f t="shared" ca="1" si="34"/>
        <v>-3.7070615411684567</v>
      </c>
      <c r="AD59" s="131">
        <f t="shared" ca="1" si="7"/>
        <v>3.7072761504640321</v>
      </c>
      <c r="AE59" s="132">
        <f t="shared" ca="1" si="32"/>
        <v>2.1460929557551211E-4</v>
      </c>
      <c r="AF59" s="132">
        <f t="shared" ca="1" si="35"/>
        <v>397.35927763023881</v>
      </c>
      <c r="AH59" s="126">
        <f t="shared" si="8"/>
        <v>45662</v>
      </c>
      <c r="AI59" s="127">
        <f t="shared" si="9"/>
        <v>679.65158194444462</v>
      </c>
    </row>
    <row r="60" spans="1:35" ht="13.8" outlineLevel="1" x14ac:dyDescent="0.3">
      <c r="A60" s="24">
        <f t="shared" si="10"/>
        <v>28</v>
      </c>
      <c r="B60" s="24">
        <f t="shared" si="0"/>
        <v>1</v>
      </c>
      <c r="C60" s="128">
        <f t="shared" si="11"/>
        <v>45693</v>
      </c>
      <c r="D60" s="129" t="str">
        <f t="shared" si="1"/>
        <v/>
      </c>
      <c r="E60" s="130">
        <f t="shared" si="36"/>
        <v>28</v>
      </c>
      <c r="F60" s="130">
        <f t="shared" si="13"/>
        <v>28</v>
      </c>
      <c r="G60" s="131">
        <f t="shared" si="14"/>
        <v>360</v>
      </c>
      <c r="H60" s="132">
        <f t="shared" si="15"/>
        <v>11.5</v>
      </c>
      <c r="I60" s="130">
        <f t="shared" si="16"/>
        <v>31</v>
      </c>
      <c r="J60" s="133">
        <f t="shared" si="17"/>
        <v>24020.75</v>
      </c>
      <c r="K60" s="124">
        <f t="shared" si="37"/>
        <v>420.50847222222228</v>
      </c>
      <c r="L60" s="132">
        <f t="shared" si="38"/>
        <v>226.22</v>
      </c>
      <c r="M60" s="132">
        <f t="shared" si="20"/>
        <v>4.3031097222222217</v>
      </c>
      <c r="N60" s="132">
        <f t="shared" si="21"/>
        <v>230.52310972222222</v>
      </c>
      <c r="O60" s="132">
        <f t="shared" si="22"/>
        <v>651.0315819444445</v>
      </c>
      <c r="P60" s="132">
        <f t="shared" si="23"/>
        <v>10</v>
      </c>
      <c r="Q60" s="132">
        <f t="shared" si="24"/>
        <v>18.62</v>
      </c>
      <c r="R60" s="132"/>
      <c r="S60" s="125">
        <f t="shared" si="25"/>
        <v>0</v>
      </c>
      <c r="T60" s="132">
        <f t="shared" si="26"/>
        <v>18.62</v>
      </c>
      <c r="U60" s="125">
        <f t="shared" si="27"/>
        <v>679.6515819444445</v>
      </c>
      <c r="V60" s="133">
        <f t="shared" si="5"/>
        <v>23600.240000000002</v>
      </c>
      <c r="W60" s="133">
        <f t="shared" si="6"/>
        <v>0</v>
      </c>
      <c r="X60" s="278">
        <f t="shared" si="28"/>
        <v>226.21889999999999</v>
      </c>
      <c r="Y60" s="278">
        <f t="shared" si="29"/>
        <v>1.1000000000080945E-3</v>
      </c>
      <c r="Z60" s="130">
        <f t="shared" si="30"/>
        <v>854</v>
      </c>
      <c r="AA60" s="125">
        <f t="shared" si="31"/>
        <v>0.7724199977787235</v>
      </c>
      <c r="AB60" s="132">
        <f t="shared" ca="1" si="33"/>
        <v>397.35927763023881</v>
      </c>
      <c r="AC60" s="132">
        <f t="shared" ca="1" si="34"/>
        <v>-3.7419733244080224</v>
      </c>
      <c r="AD60" s="131">
        <f t="shared" ca="1" si="7"/>
        <v>3.7421879337035979</v>
      </c>
      <c r="AE60" s="132">
        <f t="shared" ca="1" si="32"/>
        <v>2.1460929557551211E-4</v>
      </c>
      <c r="AF60" s="132">
        <f t="shared" ca="1" si="35"/>
        <v>401.10125095464684</v>
      </c>
      <c r="AH60" s="126">
        <f t="shared" si="8"/>
        <v>45693</v>
      </c>
      <c r="AI60" s="127">
        <f t="shared" si="9"/>
        <v>679.6515819444445</v>
      </c>
    </row>
    <row r="61" spans="1:35" ht="13.8" outlineLevel="1" x14ac:dyDescent="0.3">
      <c r="A61" s="24">
        <f t="shared" si="10"/>
        <v>29</v>
      </c>
      <c r="B61" s="24">
        <f t="shared" si="0"/>
        <v>1</v>
      </c>
      <c r="C61" s="128">
        <f t="shared" si="11"/>
        <v>45721</v>
      </c>
      <c r="D61" s="129" t="str">
        <f t="shared" si="1"/>
        <v/>
      </c>
      <c r="E61" s="130">
        <f t="shared" si="36"/>
        <v>29</v>
      </c>
      <c r="F61" s="130">
        <f t="shared" si="13"/>
        <v>29</v>
      </c>
      <c r="G61" s="131">
        <f t="shared" si="14"/>
        <v>360</v>
      </c>
      <c r="H61" s="132">
        <f t="shared" si="15"/>
        <v>11.5</v>
      </c>
      <c r="I61" s="130">
        <f t="shared" si="16"/>
        <v>28</v>
      </c>
      <c r="J61" s="133">
        <f t="shared" si="17"/>
        <v>23600.240000000002</v>
      </c>
      <c r="K61" s="124">
        <f t="shared" si="37"/>
        <v>448.16847222222236</v>
      </c>
      <c r="L61" s="132">
        <f t="shared" si="38"/>
        <v>200.66</v>
      </c>
      <c r="M61" s="132">
        <f t="shared" si="20"/>
        <v>4.3031097222222217</v>
      </c>
      <c r="N61" s="132">
        <f t="shared" si="21"/>
        <v>204.96310972222221</v>
      </c>
      <c r="O61" s="132">
        <f t="shared" si="22"/>
        <v>653.13158194444452</v>
      </c>
      <c r="P61" s="132">
        <f t="shared" si="23"/>
        <v>10</v>
      </c>
      <c r="Q61" s="132">
        <f t="shared" si="24"/>
        <v>16.52</v>
      </c>
      <c r="R61" s="132"/>
      <c r="S61" s="125">
        <f t="shared" si="25"/>
        <v>0</v>
      </c>
      <c r="T61" s="132">
        <f t="shared" si="26"/>
        <v>16.52</v>
      </c>
      <c r="U61" s="125">
        <f t="shared" si="27"/>
        <v>679.6515819444445</v>
      </c>
      <c r="V61" s="133">
        <f t="shared" si="5"/>
        <v>23152.07</v>
      </c>
      <c r="W61" s="133">
        <f t="shared" si="6"/>
        <v>0</v>
      </c>
      <c r="X61" s="278">
        <f t="shared" si="28"/>
        <v>200.65860000000001</v>
      </c>
      <c r="Y61" s="278">
        <f t="shared" si="29"/>
        <v>1.3999999999896318E-3</v>
      </c>
      <c r="Z61" s="130">
        <f t="shared" si="30"/>
        <v>882</v>
      </c>
      <c r="AA61" s="125">
        <f t="shared" si="31"/>
        <v>0.765907945512313</v>
      </c>
      <c r="AB61" s="132">
        <f t="shared" ca="1" si="33"/>
        <v>401.10125095464684</v>
      </c>
      <c r="AC61" s="132">
        <f t="shared" ca="1" si="34"/>
        <v>-3.4101068603323239</v>
      </c>
      <c r="AD61" s="131">
        <f t="shared" ca="1" si="7"/>
        <v>3.4103214696278994</v>
      </c>
      <c r="AE61" s="132">
        <f t="shared" ca="1" si="32"/>
        <v>2.1460929557551211E-4</v>
      </c>
      <c r="AF61" s="132">
        <f t="shared" ca="1" si="35"/>
        <v>404.51135781497919</v>
      </c>
      <c r="AH61" s="126">
        <f t="shared" si="8"/>
        <v>45721</v>
      </c>
      <c r="AI61" s="127">
        <f t="shared" si="9"/>
        <v>679.6515819444445</v>
      </c>
    </row>
    <row r="62" spans="1:35" ht="13.8" outlineLevel="1" x14ac:dyDescent="0.3">
      <c r="A62" s="24">
        <f t="shared" si="10"/>
        <v>30</v>
      </c>
      <c r="B62" s="24">
        <f t="shared" si="0"/>
        <v>1</v>
      </c>
      <c r="C62" s="128">
        <f t="shared" si="11"/>
        <v>45752</v>
      </c>
      <c r="D62" s="129" t="str">
        <f t="shared" si="1"/>
        <v/>
      </c>
      <c r="E62" s="130">
        <f t="shared" si="36"/>
        <v>30</v>
      </c>
      <c r="F62" s="130">
        <f t="shared" si="13"/>
        <v>30</v>
      </c>
      <c r="G62" s="131">
        <f t="shared" si="14"/>
        <v>360</v>
      </c>
      <c r="H62" s="132">
        <f t="shared" si="15"/>
        <v>11.5</v>
      </c>
      <c r="I62" s="130">
        <f t="shared" si="16"/>
        <v>31</v>
      </c>
      <c r="J62" s="133">
        <f t="shared" si="17"/>
        <v>23152.07</v>
      </c>
      <c r="K62" s="124">
        <f t="shared" si="37"/>
        <v>429.36847222222235</v>
      </c>
      <c r="L62" s="132">
        <f t="shared" si="38"/>
        <v>218.04</v>
      </c>
      <c r="M62" s="132">
        <f t="shared" si="20"/>
        <v>4.3031097222222217</v>
      </c>
      <c r="N62" s="132">
        <f t="shared" si="21"/>
        <v>222.34310972222221</v>
      </c>
      <c r="O62" s="132">
        <f t="shared" si="22"/>
        <v>651.71158194444456</v>
      </c>
      <c r="P62" s="132">
        <f t="shared" si="23"/>
        <v>10</v>
      </c>
      <c r="Q62" s="132">
        <f t="shared" si="24"/>
        <v>17.940000000000001</v>
      </c>
      <c r="R62" s="132"/>
      <c r="S62" s="125">
        <f t="shared" si="25"/>
        <v>0</v>
      </c>
      <c r="T62" s="132">
        <f t="shared" si="26"/>
        <v>17.940000000000001</v>
      </c>
      <c r="U62" s="125">
        <f t="shared" si="27"/>
        <v>679.65158194444462</v>
      </c>
      <c r="V62" s="133">
        <f t="shared" si="5"/>
        <v>22722.7</v>
      </c>
      <c r="W62" s="133">
        <f t="shared" si="6"/>
        <v>0</v>
      </c>
      <c r="X62" s="278">
        <f t="shared" si="28"/>
        <v>218.03790000000001</v>
      </c>
      <c r="Y62" s="278">
        <f t="shared" si="29"/>
        <v>2.0999999999844476E-3</v>
      </c>
      <c r="Z62" s="130">
        <f t="shared" si="30"/>
        <v>913</v>
      </c>
      <c r="AA62" s="125">
        <f t="shared" si="31"/>
        <v>0.7587621938307676</v>
      </c>
      <c r="AB62" s="132">
        <f t="shared" ca="1" si="33"/>
        <v>404.51135781497919</v>
      </c>
      <c r="AC62" s="132">
        <f t="shared" ca="1" si="34"/>
        <v>-3.8093290643515645</v>
      </c>
      <c r="AD62" s="131">
        <f t="shared" ca="1" si="7"/>
        <v>3.80954367364714</v>
      </c>
      <c r="AE62" s="132">
        <f t="shared" ca="1" si="32"/>
        <v>2.1460929557551211E-4</v>
      </c>
      <c r="AF62" s="132">
        <f t="shared" ca="1" si="35"/>
        <v>408.32068687933076</v>
      </c>
      <c r="AH62" s="126">
        <f t="shared" si="8"/>
        <v>45752</v>
      </c>
      <c r="AI62" s="127">
        <f t="shared" si="9"/>
        <v>679.65158194444462</v>
      </c>
    </row>
    <row r="63" spans="1:35" ht="13.8" outlineLevel="1" x14ac:dyDescent="0.3">
      <c r="A63" s="24">
        <f t="shared" si="10"/>
        <v>31</v>
      </c>
      <c r="B63" s="24">
        <f t="shared" si="0"/>
        <v>1</v>
      </c>
      <c r="C63" s="128">
        <f t="shared" si="11"/>
        <v>45782</v>
      </c>
      <c r="D63" s="129" t="str">
        <f t="shared" si="1"/>
        <v/>
      </c>
      <c r="E63" s="130">
        <f t="shared" si="36"/>
        <v>31</v>
      </c>
      <c r="F63" s="130">
        <f t="shared" si="13"/>
        <v>31</v>
      </c>
      <c r="G63" s="131">
        <f t="shared" si="14"/>
        <v>360</v>
      </c>
      <c r="H63" s="132">
        <f t="shared" si="15"/>
        <v>11.5</v>
      </c>
      <c r="I63" s="130">
        <f t="shared" si="16"/>
        <v>30</v>
      </c>
      <c r="J63" s="133">
        <f t="shared" si="17"/>
        <v>22722.7</v>
      </c>
      <c r="K63" s="124">
        <f t="shared" si="37"/>
        <v>441.24847222222229</v>
      </c>
      <c r="L63" s="132">
        <f t="shared" si="38"/>
        <v>207.06</v>
      </c>
      <c r="M63" s="132">
        <f t="shared" si="20"/>
        <v>4.3031097222222217</v>
      </c>
      <c r="N63" s="132">
        <f t="shared" si="21"/>
        <v>211.36310972222222</v>
      </c>
      <c r="O63" s="132">
        <f t="shared" si="22"/>
        <v>652.61158194444442</v>
      </c>
      <c r="P63" s="132">
        <f t="shared" si="23"/>
        <v>10</v>
      </c>
      <c r="Q63" s="132">
        <f t="shared" si="24"/>
        <v>17.04</v>
      </c>
      <c r="R63" s="132"/>
      <c r="S63" s="125">
        <f t="shared" si="25"/>
        <v>0</v>
      </c>
      <c r="T63" s="132">
        <f t="shared" si="26"/>
        <v>17.04</v>
      </c>
      <c r="U63" s="125">
        <f t="shared" si="27"/>
        <v>679.65158194444439</v>
      </c>
      <c r="V63" s="133">
        <f t="shared" si="5"/>
        <v>22281.45</v>
      </c>
      <c r="W63" s="133">
        <f t="shared" si="6"/>
        <v>0</v>
      </c>
      <c r="X63" s="278">
        <f t="shared" si="28"/>
        <v>207.0599</v>
      </c>
      <c r="Y63" s="278">
        <f t="shared" si="29"/>
        <v>1.0000000000331966E-4</v>
      </c>
      <c r="Z63" s="130">
        <f t="shared" si="30"/>
        <v>943</v>
      </c>
      <c r="AA63" s="125">
        <f t="shared" si="31"/>
        <v>0.75191043373596955</v>
      </c>
      <c r="AB63" s="132">
        <f t="shared" ca="1" si="33"/>
        <v>408.32068687933076</v>
      </c>
      <c r="AC63" s="132">
        <f t="shared" ca="1" si="34"/>
        <v>-3.7205947620275359</v>
      </c>
      <c r="AD63" s="131">
        <f t="shared" ca="1" si="7"/>
        <v>3.7208093713231114</v>
      </c>
      <c r="AE63" s="132">
        <f t="shared" ca="1" si="32"/>
        <v>2.1460929557551211E-4</v>
      </c>
      <c r="AF63" s="132">
        <f t="shared" ca="1" si="35"/>
        <v>412.0412816413583</v>
      </c>
      <c r="AH63" s="126">
        <f t="shared" si="8"/>
        <v>45782</v>
      </c>
      <c r="AI63" s="127">
        <f t="shared" si="9"/>
        <v>679.65158194444439</v>
      </c>
    </row>
    <row r="64" spans="1:35" ht="13.8" outlineLevel="1" x14ac:dyDescent="0.3">
      <c r="A64" s="24">
        <f t="shared" si="10"/>
        <v>32</v>
      </c>
      <c r="B64" s="24">
        <f t="shared" si="0"/>
        <v>1</v>
      </c>
      <c r="C64" s="128">
        <f t="shared" si="11"/>
        <v>45813</v>
      </c>
      <c r="D64" s="129" t="str">
        <f t="shared" si="1"/>
        <v/>
      </c>
      <c r="E64" s="130">
        <f t="shared" si="36"/>
        <v>32</v>
      </c>
      <c r="F64" s="130">
        <f t="shared" si="13"/>
        <v>32</v>
      </c>
      <c r="G64" s="131">
        <f t="shared" si="14"/>
        <v>360</v>
      </c>
      <c r="H64" s="132">
        <f t="shared" si="15"/>
        <v>11.5</v>
      </c>
      <c r="I64" s="130">
        <f t="shared" si="16"/>
        <v>31</v>
      </c>
      <c r="J64" s="133">
        <f t="shared" si="17"/>
        <v>22281.45</v>
      </c>
      <c r="K64" s="124">
        <f t="shared" si="37"/>
        <v>438.2384722222223</v>
      </c>
      <c r="L64" s="132">
        <f t="shared" si="38"/>
        <v>209.84</v>
      </c>
      <c r="M64" s="132">
        <f t="shared" si="20"/>
        <v>4.3031097222222217</v>
      </c>
      <c r="N64" s="132">
        <f t="shared" si="21"/>
        <v>214.14310972222222</v>
      </c>
      <c r="O64" s="132">
        <f t="shared" si="22"/>
        <v>652.38158194444452</v>
      </c>
      <c r="P64" s="132">
        <f t="shared" si="23"/>
        <v>10</v>
      </c>
      <c r="Q64" s="132">
        <f t="shared" si="24"/>
        <v>17.27</v>
      </c>
      <c r="R64" s="132"/>
      <c r="S64" s="125">
        <f t="shared" si="25"/>
        <v>0</v>
      </c>
      <c r="T64" s="132">
        <f t="shared" si="26"/>
        <v>17.27</v>
      </c>
      <c r="U64" s="125">
        <f t="shared" si="27"/>
        <v>679.6515819444445</v>
      </c>
      <c r="V64" s="133">
        <f t="shared" si="5"/>
        <v>21843.21</v>
      </c>
      <c r="W64" s="133">
        <f t="shared" si="6"/>
        <v>0</v>
      </c>
      <c r="X64" s="278">
        <f t="shared" si="28"/>
        <v>209.83869999999999</v>
      </c>
      <c r="Y64" s="278">
        <f t="shared" si="29"/>
        <v>1.3000000000147338E-3</v>
      </c>
      <c r="Z64" s="130">
        <f t="shared" si="30"/>
        <v>974</v>
      </c>
      <c r="AA64" s="125">
        <f t="shared" si="31"/>
        <v>0.7448952757424766</v>
      </c>
      <c r="AB64" s="132">
        <f t="shared" ca="1" si="33"/>
        <v>412.0412816413583</v>
      </c>
      <c r="AC64" s="132">
        <f t="shared" ca="1" si="34"/>
        <v>-3.8802432009305128</v>
      </c>
      <c r="AD64" s="131">
        <f t="shared" ca="1" si="7"/>
        <v>3.8804578102260883</v>
      </c>
      <c r="AE64" s="132">
        <f t="shared" ca="1" si="32"/>
        <v>2.1460929557551211E-4</v>
      </c>
      <c r="AF64" s="132">
        <f t="shared" ca="1" si="35"/>
        <v>415.92152484228882</v>
      </c>
      <c r="AH64" s="126">
        <f t="shared" si="8"/>
        <v>45813</v>
      </c>
      <c r="AI64" s="127">
        <f t="shared" si="9"/>
        <v>679.6515819444445</v>
      </c>
    </row>
    <row r="65" spans="1:35" ht="13.8" outlineLevel="1" x14ac:dyDescent="0.3">
      <c r="A65" s="24">
        <f t="shared" si="10"/>
        <v>33</v>
      </c>
      <c r="B65" s="24">
        <f t="shared" ref="B65:B96" si="39">IF(A65="","",IF(A65&lt;=$H$22,0,1))</f>
        <v>1</v>
      </c>
      <c r="C65" s="128">
        <f t="shared" si="11"/>
        <v>45843</v>
      </c>
      <c r="D65" s="129" t="str">
        <f t="shared" ref="D65:D96" si="40">IF(B65="","",IF(OR(MONTH(C65)=$H$18,MONTH(C65)=$H$19),"D",""))</f>
        <v/>
      </c>
      <c r="E65" s="130">
        <f t="shared" si="36"/>
        <v>33</v>
      </c>
      <c r="F65" s="130">
        <f t="shared" si="13"/>
        <v>33</v>
      </c>
      <c r="G65" s="131">
        <f t="shared" si="14"/>
        <v>360</v>
      </c>
      <c r="H65" s="132">
        <f t="shared" si="15"/>
        <v>11.5</v>
      </c>
      <c r="I65" s="130">
        <f t="shared" si="16"/>
        <v>30</v>
      </c>
      <c r="J65" s="133">
        <f t="shared" si="17"/>
        <v>21843.21</v>
      </c>
      <c r="K65" s="124">
        <f t="shared" si="37"/>
        <v>449.91847222222231</v>
      </c>
      <c r="L65" s="132">
        <f t="shared" si="38"/>
        <v>199.05</v>
      </c>
      <c r="M65" s="132">
        <f t="shared" si="20"/>
        <v>4.3031097222222217</v>
      </c>
      <c r="N65" s="132">
        <f t="shared" si="21"/>
        <v>203.35310972222223</v>
      </c>
      <c r="O65" s="132">
        <f t="shared" si="22"/>
        <v>653.27158194444451</v>
      </c>
      <c r="P65" s="132">
        <f t="shared" si="23"/>
        <v>10</v>
      </c>
      <c r="Q65" s="132">
        <f t="shared" si="24"/>
        <v>16.38</v>
      </c>
      <c r="R65" s="132"/>
      <c r="S65" s="125">
        <f t="shared" si="25"/>
        <v>0</v>
      </c>
      <c r="T65" s="132">
        <f t="shared" ref="T65:T96" si="41">IF(B65="","",Q65+R65+S65)</f>
        <v>16.38</v>
      </c>
      <c r="U65" s="125">
        <f t="shared" si="27"/>
        <v>679.6515819444445</v>
      </c>
      <c r="V65" s="133">
        <f t="shared" ref="V65:V96" si="42">IF(B65="","",ROUND(J65-K65,2))</f>
        <v>21393.29</v>
      </c>
      <c r="W65" s="133">
        <f t="shared" ref="W65:W96" si="43">IF(B65="","",IF(ROUND(ROUND(J65*(((1+(H65/100))^(I65/G65))-1),4),2) - $J$24&lt;0,0,ROUND(ROUND(J65*(((1+(H65/100))^(I65/G65))-1),4),2) - $J$24))</f>
        <v>0</v>
      </c>
      <c r="X65" s="278">
        <f t="shared" si="28"/>
        <v>199.04560000000001</v>
      </c>
      <c r="Y65" s="278">
        <f t="shared" si="29"/>
        <v>4.4000000000039563E-3</v>
      </c>
      <c r="Z65" s="130">
        <f t="shared" si="30"/>
        <v>1004</v>
      </c>
      <c r="AA65" s="125">
        <f t="shared" si="31"/>
        <v>0.73816873643064262</v>
      </c>
      <c r="AB65" s="132">
        <f t="shared" ca="1" si="33"/>
        <v>415.92152484228882</v>
      </c>
      <c r="AC65" s="132">
        <f t="shared" ca="1" si="34"/>
        <v>-3.7898571580590175</v>
      </c>
      <c r="AD65" s="131">
        <f t="shared" ca="1" si="7"/>
        <v>3.7900717673545929</v>
      </c>
      <c r="AE65" s="132">
        <f t="shared" ca="1" si="32"/>
        <v>2.1460929557551211E-4</v>
      </c>
      <c r="AF65" s="132">
        <f t="shared" ca="1" si="35"/>
        <v>419.71138200034784</v>
      </c>
      <c r="AH65" s="126">
        <f t="shared" si="8"/>
        <v>45843</v>
      </c>
      <c r="AI65" s="127">
        <f t="shared" si="9"/>
        <v>679.6515819444445</v>
      </c>
    </row>
    <row r="66" spans="1:35" ht="13.8" outlineLevel="1" x14ac:dyDescent="0.3">
      <c r="A66" s="24">
        <f t="shared" ref="A66:A97" si="44">+IF(A65&gt;=$H$12,"",A65+1)</f>
        <v>34</v>
      </c>
      <c r="B66" s="24">
        <f t="shared" si="39"/>
        <v>1</v>
      </c>
      <c r="C66" s="128">
        <f t="shared" ref="C66:C97" si="45">IF(B66="","",IF(OR(MONTH(EDATE($Q$6,E66))=$H$16,MONTH(EDATE($Q$6,E66))=$H$17),IF(ABS($H$17-$H$16)=1,EDATE($Q$6,E66+2),EDATE($Q$6,E66+1)),EDATE($Q$6,E66)))</f>
        <v>45874</v>
      </c>
      <c r="D66" s="129" t="str">
        <f t="shared" si="40"/>
        <v/>
      </c>
      <c r="E66" s="130">
        <f t="shared" si="36"/>
        <v>34</v>
      </c>
      <c r="F66" s="130">
        <f t="shared" ref="F66:F97" si="46">IF(B66="","",F65+1)</f>
        <v>34</v>
      </c>
      <c r="G66" s="131">
        <f t="shared" ref="G66:G97" si="47">IF(B66="","",$Q$9)</f>
        <v>360</v>
      </c>
      <c r="H66" s="132">
        <f t="shared" ref="H66:H97" si="48">IF(B66="","",$H$8)</f>
        <v>11.5</v>
      </c>
      <c r="I66" s="130">
        <f t="shared" ref="I66:I97" si="49">IF(B66="","",C66-C65)</f>
        <v>31</v>
      </c>
      <c r="J66" s="133">
        <f t="shared" ref="J66:J97" si="50">IF(B66="","",+V65)</f>
        <v>21393.29</v>
      </c>
      <c r="K66" s="124">
        <f t="shared" si="37"/>
        <v>447.2984722222223</v>
      </c>
      <c r="L66" s="132">
        <f t="shared" si="38"/>
        <v>201.47</v>
      </c>
      <c r="M66" s="132">
        <f t="shared" ref="M66:M97" si="51">IF(B66="","",IF(ISERROR(MATCH(MONTH(C66),$H$18:$H$19,0))=FALSE,$J$23,0)  + $J$23)</f>
        <v>4.3031097222222217</v>
      </c>
      <c r="N66" s="132">
        <f t="shared" ref="N66:N97" si="52">IF(B66="","",L66+M66)</f>
        <v>205.77310972222222</v>
      </c>
      <c r="O66" s="132">
        <f t="shared" ref="O66:O97" si="53">IF(B66="","",K66+L66 + M66)</f>
        <v>653.07158194444446</v>
      </c>
      <c r="P66" s="132">
        <f t="shared" ref="P66:P97" si="54">IF(B66="","",$J$26)</f>
        <v>10</v>
      </c>
      <c r="Q66" s="132">
        <f t="shared" ref="Q66:Q97" si="55">IF(B66="","",ROUND($H$9*J66/30*$I66,2)-S66)</f>
        <v>16.579999999999998</v>
      </c>
      <c r="R66" s="132"/>
      <c r="S66" s="125">
        <f t="shared" ref="S66:S97" si="56">IF(B66="","",IF(E66-E65&gt;1,ROUNDDOWN($J66*$H$9/30*(DATE(YEAR($C66),MONTH($C66)-1,DAY($C66))-C65),2),0))</f>
        <v>0</v>
      </c>
      <c r="T66" s="132">
        <f t="shared" si="41"/>
        <v>16.579999999999998</v>
      </c>
      <c r="U66" s="125">
        <f t="shared" si="27"/>
        <v>679.6515819444445</v>
      </c>
      <c r="V66" s="133">
        <f t="shared" si="42"/>
        <v>20945.990000000002</v>
      </c>
      <c r="W66" s="133">
        <f t="shared" si="43"/>
        <v>0</v>
      </c>
      <c r="X66" s="278">
        <f t="shared" si="28"/>
        <v>201.4744</v>
      </c>
      <c r="Y66" s="278">
        <f t="shared" si="29"/>
        <v>-4.4000000000039563E-3</v>
      </c>
      <c r="Z66" s="130">
        <f t="shared" si="30"/>
        <v>1035</v>
      </c>
      <c r="AA66" s="125">
        <f t="shared" si="31"/>
        <v>0.73128178543278455</v>
      </c>
      <c r="AB66" s="132">
        <f t="shared" ca="1" si="33"/>
        <v>419.71138200034784</v>
      </c>
      <c r="AC66" s="132">
        <f t="shared" ca="1" si="34"/>
        <v>-3.9524774700908667</v>
      </c>
      <c r="AD66" s="131">
        <f t="shared" ca="1" si="7"/>
        <v>3.9526920793864422</v>
      </c>
      <c r="AE66" s="132">
        <f t="shared" ca="1" si="32"/>
        <v>2.1460929557551211E-4</v>
      </c>
      <c r="AF66" s="132">
        <f t="shared" ca="1" si="35"/>
        <v>423.66385947043869</v>
      </c>
      <c r="AH66" s="126">
        <f t="shared" si="8"/>
        <v>45874</v>
      </c>
      <c r="AI66" s="127">
        <f t="shared" si="9"/>
        <v>679.6515819444445</v>
      </c>
    </row>
    <row r="67" spans="1:35" ht="13.8" outlineLevel="1" x14ac:dyDescent="0.3">
      <c r="A67" s="24">
        <f t="shared" si="44"/>
        <v>35</v>
      </c>
      <c r="B67" s="24">
        <f t="shared" si="39"/>
        <v>1</v>
      </c>
      <c r="C67" s="128">
        <f t="shared" si="45"/>
        <v>45905</v>
      </c>
      <c r="D67" s="129" t="str">
        <f t="shared" si="40"/>
        <v/>
      </c>
      <c r="E67" s="130">
        <f t="shared" si="36"/>
        <v>35</v>
      </c>
      <c r="F67" s="130">
        <f t="shared" si="46"/>
        <v>35</v>
      </c>
      <c r="G67" s="131">
        <f t="shared" si="47"/>
        <v>360</v>
      </c>
      <c r="H67" s="132">
        <f t="shared" si="48"/>
        <v>11.5</v>
      </c>
      <c r="I67" s="130">
        <f t="shared" si="49"/>
        <v>31</v>
      </c>
      <c r="J67" s="133">
        <f t="shared" si="50"/>
        <v>20945.990000000002</v>
      </c>
      <c r="K67" s="124">
        <f t="shared" si="37"/>
        <v>451.8584722222223</v>
      </c>
      <c r="L67" s="132">
        <f t="shared" si="38"/>
        <v>197.26</v>
      </c>
      <c r="M67" s="132">
        <f t="shared" si="51"/>
        <v>4.3031097222222217</v>
      </c>
      <c r="N67" s="132">
        <f t="shared" si="52"/>
        <v>201.56310972222221</v>
      </c>
      <c r="O67" s="132">
        <f t="shared" si="53"/>
        <v>653.42158194444448</v>
      </c>
      <c r="P67" s="132">
        <f t="shared" si="54"/>
        <v>10</v>
      </c>
      <c r="Q67" s="132">
        <f t="shared" si="55"/>
        <v>16.23</v>
      </c>
      <c r="R67" s="132"/>
      <c r="S67" s="125">
        <f t="shared" si="56"/>
        <v>0</v>
      </c>
      <c r="T67" s="132">
        <f t="shared" si="41"/>
        <v>16.23</v>
      </c>
      <c r="U67" s="125">
        <f t="shared" si="27"/>
        <v>679.6515819444445</v>
      </c>
      <c r="V67" s="133">
        <f t="shared" si="42"/>
        <v>20494.13</v>
      </c>
      <c r="W67" s="133">
        <f t="shared" si="43"/>
        <v>0</v>
      </c>
      <c r="X67" s="278">
        <f t="shared" si="28"/>
        <v>197.2619</v>
      </c>
      <c r="Y67" s="278">
        <f t="shared" si="29"/>
        <v>-1.90000000000623E-3</v>
      </c>
      <c r="Z67" s="130">
        <f t="shared" si="30"/>
        <v>1066</v>
      </c>
      <c r="AA67" s="125">
        <f t="shared" si="31"/>
        <v>0.72445908816406179</v>
      </c>
      <c r="AB67" s="132">
        <f t="shared" ca="1" si="33"/>
        <v>423.66385947043869</v>
      </c>
      <c r="AC67" s="132">
        <f t="shared" ca="1" si="34"/>
        <v>-3.9897004930060955</v>
      </c>
      <c r="AD67" s="131">
        <f t="shared" ca="1" si="7"/>
        <v>3.989915102301671</v>
      </c>
      <c r="AE67" s="132">
        <f t="shared" ca="1" si="32"/>
        <v>2.1460929557551211E-4</v>
      </c>
      <c r="AF67" s="132">
        <f t="shared" ca="1" si="35"/>
        <v>427.65355996344476</v>
      </c>
      <c r="AH67" s="126">
        <f t="shared" si="8"/>
        <v>45905</v>
      </c>
      <c r="AI67" s="127">
        <f t="shared" si="9"/>
        <v>679.6515819444445</v>
      </c>
    </row>
    <row r="68" spans="1:35" ht="13.8" outlineLevel="1" x14ac:dyDescent="0.3">
      <c r="A68" s="24">
        <f t="shared" si="44"/>
        <v>36</v>
      </c>
      <c r="B68" s="24">
        <f t="shared" si="39"/>
        <v>1</v>
      </c>
      <c r="C68" s="128">
        <f t="shared" si="45"/>
        <v>45935</v>
      </c>
      <c r="D68" s="129" t="str">
        <f t="shared" si="40"/>
        <v/>
      </c>
      <c r="E68" s="130">
        <f t="shared" si="36"/>
        <v>36</v>
      </c>
      <c r="F68" s="130">
        <f t="shared" si="46"/>
        <v>36</v>
      </c>
      <c r="G68" s="131">
        <f t="shared" si="47"/>
        <v>360</v>
      </c>
      <c r="H68" s="132">
        <f t="shared" si="48"/>
        <v>11.5</v>
      </c>
      <c r="I68" s="130">
        <f t="shared" si="49"/>
        <v>30</v>
      </c>
      <c r="J68" s="133">
        <f t="shared" si="50"/>
        <v>20494.13</v>
      </c>
      <c r="K68" s="124">
        <f t="shared" si="37"/>
        <v>463.22847222222231</v>
      </c>
      <c r="L68" s="132">
        <f t="shared" si="38"/>
        <v>186.75</v>
      </c>
      <c r="M68" s="132">
        <f t="shared" si="51"/>
        <v>4.3031097222222217</v>
      </c>
      <c r="N68" s="132">
        <f t="shared" si="52"/>
        <v>191.05310972222222</v>
      </c>
      <c r="O68" s="132">
        <f t="shared" si="53"/>
        <v>654.2815819444445</v>
      </c>
      <c r="P68" s="132">
        <f t="shared" si="54"/>
        <v>10</v>
      </c>
      <c r="Q68" s="132">
        <f t="shared" si="55"/>
        <v>15.37</v>
      </c>
      <c r="R68" s="132"/>
      <c r="S68" s="125">
        <f t="shared" si="56"/>
        <v>0</v>
      </c>
      <c r="T68" s="132">
        <f t="shared" si="41"/>
        <v>15.37</v>
      </c>
      <c r="U68" s="125">
        <f t="shared" si="27"/>
        <v>679.6515819444445</v>
      </c>
      <c r="V68" s="133">
        <f t="shared" si="42"/>
        <v>20030.900000000001</v>
      </c>
      <c r="W68" s="133">
        <f t="shared" si="43"/>
        <v>0</v>
      </c>
      <c r="X68" s="278">
        <f t="shared" si="28"/>
        <v>186.75210000000001</v>
      </c>
      <c r="Y68" s="278">
        <f t="shared" si="29"/>
        <v>-2.1000000000128694E-3</v>
      </c>
      <c r="Z68" s="130">
        <f t="shared" si="30"/>
        <v>1096</v>
      </c>
      <c r="AA68" s="125">
        <f t="shared" si="31"/>
        <v>0.71791709132901182</v>
      </c>
      <c r="AB68" s="132">
        <f t="shared" ca="1" si="33"/>
        <v>427.65355996344476</v>
      </c>
      <c r="AC68" s="132">
        <f t="shared" ca="1" si="34"/>
        <v>-3.8967649578012074</v>
      </c>
      <c r="AD68" s="131">
        <f t="shared" ca="1" si="7"/>
        <v>3.8969795670967828</v>
      </c>
      <c r="AE68" s="132">
        <f t="shared" ca="1" si="32"/>
        <v>2.1460929557551211E-4</v>
      </c>
      <c r="AF68" s="132">
        <f t="shared" ca="1" si="35"/>
        <v>431.55032492124599</v>
      </c>
      <c r="AH68" s="126">
        <f t="shared" si="8"/>
        <v>45935</v>
      </c>
      <c r="AI68" s="127">
        <f t="shared" si="9"/>
        <v>679.6515819444445</v>
      </c>
    </row>
    <row r="69" spans="1:35" ht="13.8" outlineLevel="1" x14ac:dyDescent="0.3">
      <c r="A69" s="24">
        <f t="shared" si="44"/>
        <v>37</v>
      </c>
      <c r="B69" s="24">
        <f t="shared" si="39"/>
        <v>1</v>
      </c>
      <c r="C69" s="128">
        <f t="shared" si="45"/>
        <v>45966</v>
      </c>
      <c r="D69" s="129" t="str">
        <f t="shared" si="40"/>
        <v/>
      </c>
      <c r="E69" s="130">
        <f t="shared" si="36"/>
        <v>37</v>
      </c>
      <c r="F69" s="130">
        <f t="shared" si="46"/>
        <v>37</v>
      </c>
      <c r="G69" s="131">
        <f t="shared" si="47"/>
        <v>360</v>
      </c>
      <c r="H69" s="132">
        <f t="shared" si="48"/>
        <v>11.5</v>
      </c>
      <c r="I69" s="130">
        <f t="shared" si="49"/>
        <v>31</v>
      </c>
      <c r="J69" s="133">
        <f t="shared" si="50"/>
        <v>20030.900000000001</v>
      </c>
      <c r="K69" s="124">
        <f t="shared" si="37"/>
        <v>461.18847222222234</v>
      </c>
      <c r="L69" s="132">
        <f t="shared" si="38"/>
        <v>188.64</v>
      </c>
      <c r="M69" s="132">
        <f t="shared" si="51"/>
        <v>4.3031097222222217</v>
      </c>
      <c r="N69" s="132">
        <f t="shared" si="52"/>
        <v>192.9431097222222</v>
      </c>
      <c r="O69" s="132">
        <f t="shared" si="53"/>
        <v>654.13158194444452</v>
      </c>
      <c r="P69" s="132">
        <f t="shared" si="54"/>
        <v>10</v>
      </c>
      <c r="Q69" s="132">
        <f t="shared" si="55"/>
        <v>15.52</v>
      </c>
      <c r="R69" s="132"/>
      <c r="S69" s="125">
        <f t="shared" si="56"/>
        <v>0</v>
      </c>
      <c r="T69" s="132">
        <f t="shared" si="41"/>
        <v>15.52</v>
      </c>
      <c r="U69" s="125">
        <f t="shared" si="27"/>
        <v>679.6515819444445</v>
      </c>
      <c r="V69" s="133">
        <f t="shared" si="42"/>
        <v>19569.71</v>
      </c>
      <c r="W69" s="133">
        <f t="shared" si="43"/>
        <v>0</v>
      </c>
      <c r="X69" s="278">
        <f t="shared" si="28"/>
        <v>188.6439</v>
      </c>
      <c r="Y69" s="278">
        <f t="shared" si="29"/>
        <v>-3.9000000000157797E-3</v>
      </c>
      <c r="Z69" s="130">
        <f t="shared" si="30"/>
        <v>1127</v>
      </c>
      <c r="AA69" s="125">
        <f t="shared" si="31"/>
        <v>0.71121908369946174</v>
      </c>
      <c r="AB69" s="132">
        <f t="shared" ca="1" si="33"/>
        <v>431.55032492124599</v>
      </c>
      <c r="AC69" s="132">
        <f t="shared" ca="1" si="34"/>
        <v>-4.0639724114210578</v>
      </c>
      <c r="AD69" s="131">
        <f t="shared" ca="1" si="7"/>
        <v>4.0641870207166333</v>
      </c>
      <c r="AE69" s="132">
        <f t="shared" ca="1" si="32"/>
        <v>2.1460929557551211E-4</v>
      </c>
      <c r="AF69" s="132">
        <f t="shared" ca="1" si="35"/>
        <v>435.61429733266704</v>
      </c>
      <c r="AH69" s="126">
        <f t="shared" si="8"/>
        <v>45966</v>
      </c>
      <c r="AI69" s="127">
        <f t="shared" si="9"/>
        <v>679.6515819444445</v>
      </c>
    </row>
    <row r="70" spans="1:35" ht="13.8" outlineLevel="1" x14ac:dyDescent="0.3">
      <c r="A70" s="24">
        <f t="shared" si="44"/>
        <v>38</v>
      </c>
      <c r="B70" s="24">
        <f t="shared" si="39"/>
        <v>1</v>
      </c>
      <c r="C70" s="128">
        <f t="shared" si="45"/>
        <v>45996</v>
      </c>
      <c r="D70" s="129" t="str">
        <f t="shared" si="40"/>
        <v/>
      </c>
      <c r="E70" s="130">
        <f t="shared" si="36"/>
        <v>38</v>
      </c>
      <c r="F70" s="130">
        <f t="shared" si="46"/>
        <v>38</v>
      </c>
      <c r="G70" s="131">
        <f t="shared" si="47"/>
        <v>360</v>
      </c>
      <c r="H70" s="132">
        <f t="shared" si="48"/>
        <v>11.5</v>
      </c>
      <c r="I70" s="130">
        <f t="shared" si="49"/>
        <v>30</v>
      </c>
      <c r="J70" s="133">
        <f t="shared" si="50"/>
        <v>19569.71</v>
      </c>
      <c r="K70" s="124">
        <f t="shared" si="37"/>
        <v>472.33847222222226</v>
      </c>
      <c r="L70" s="132">
        <f t="shared" si="38"/>
        <v>178.33</v>
      </c>
      <c r="M70" s="132">
        <f t="shared" si="51"/>
        <v>4.3031097222222217</v>
      </c>
      <c r="N70" s="132">
        <f t="shared" si="52"/>
        <v>182.63310972222223</v>
      </c>
      <c r="O70" s="132">
        <f t="shared" si="53"/>
        <v>654.97158194444444</v>
      </c>
      <c r="P70" s="132">
        <f t="shared" si="54"/>
        <v>10</v>
      </c>
      <c r="Q70" s="132">
        <f t="shared" si="55"/>
        <v>14.68</v>
      </c>
      <c r="R70" s="132"/>
      <c r="S70" s="125">
        <f t="shared" si="56"/>
        <v>0</v>
      </c>
      <c r="T70" s="132">
        <f t="shared" si="41"/>
        <v>14.68</v>
      </c>
      <c r="U70" s="125">
        <f t="shared" si="27"/>
        <v>679.65158194444439</v>
      </c>
      <c r="V70" s="133">
        <f t="shared" si="42"/>
        <v>19097.37</v>
      </c>
      <c r="W70" s="133">
        <f t="shared" si="43"/>
        <v>0</v>
      </c>
      <c r="X70" s="278">
        <f t="shared" si="28"/>
        <v>178.32839999999999</v>
      </c>
      <c r="Y70" s="278">
        <f t="shared" si="29"/>
        <v>1.6000000000246928E-3</v>
      </c>
      <c r="Z70" s="130">
        <f t="shared" si="30"/>
        <v>1157</v>
      </c>
      <c r="AA70" s="125">
        <f t="shared" si="31"/>
        <v>0.70479664650376017</v>
      </c>
      <c r="AB70" s="132">
        <f t="shared" ca="1" si="33"/>
        <v>435.61429733266704</v>
      </c>
      <c r="AC70" s="132">
        <f t="shared" ca="1" si="34"/>
        <v>-3.9693069258127323</v>
      </c>
      <c r="AD70" s="131">
        <f t="shared" ca="1" si="7"/>
        <v>3.9695215351083077</v>
      </c>
      <c r="AE70" s="132">
        <f t="shared" ca="1" si="32"/>
        <v>2.1460929557551211E-4</v>
      </c>
      <c r="AF70" s="132">
        <f t="shared" ca="1" si="35"/>
        <v>439.5836042584798</v>
      </c>
      <c r="AH70" s="126">
        <f t="shared" si="8"/>
        <v>45996</v>
      </c>
      <c r="AI70" s="127">
        <f t="shared" si="9"/>
        <v>679.65158194444439</v>
      </c>
    </row>
    <row r="71" spans="1:35" ht="13.8" outlineLevel="1" x14ac:dyDescent="0.3">
      <c r="A71" s="24">
        <f t="shared" si="44"/>
        <v>39</v>
      </c>
      <c r="B71" s="24">
        <f t="shared" si="39"/>
        <v>1</v>
      </c>
      <c r="C71" s="128">
        <f t="shared" si="45"/>
        <v>46027</v>
      </c>
      <c r="D71" s="129" t="str">
        <f t="shared" si="40"/>
        <v/>
      </c>
      <c r="E71" s="130">
        <f t="shared" si="36"/>
        <v>39</v>
      </c>
      <c r="F71" s="130">
        <f t="shared" si="46"/>
        <v>39</v>
      </c>
      <c r="G71" s="131">
        <f t="shared" si="47"/>
        <v>360</v>
      </c>
      <c r="H71" s="132">
        <f t="shared" si="48"/>
        <v>11.5</v>
      </c>
      <c r="I71" s="130">
        <f t="shared" si="49"/>
        <v>31</v>
      </c>
      <c r="J71" s="133">
        <f t="shared" si="50"/>
        <v>19097.37</v>
      </c>
      <c r="K71" s="124">
        <f t="shared" si="37"/>
        <v>470.69847222222228</v>
      </c>
      <c r="L71" s="132">
        <f t="shared" si="38"/>
        <v>179.85</v>
      </c>
      <c r="M71" s="132">
        <f t="shared" si="51"/>
        <v>4.3031097222222217</v>
      </c>
      <c r="N71" s="132">
        <f t="shared" si="52"/>
        <v>184.15310972222221</v>
      </c>
      <c r="O71" s="132">
        <f t="shared" si="53"/>
        <v>654.85158194444443</v>
      </c>
      <c r="P71" s="132">
        <f t="shared" si="54"/>
        <v>10</v>
      </c>
      <c r="Q71" s="132">
        <f t="shared" si="55"/>
        <v>14.8</v>
      </c>
      <c r="R71" s="132"/>
      <c r="S71" s="125">
        <f t="shared" si="56"/>
        <v>0</v>
      </c>
      <c r="T71" s="132">
        <f t="shared" si="41"/>
        <v>14.8</v>
      </c>
      <c r="U71" s="125">
        <f t="shared" si="27"/>
        <v>679.65158194444439</v>
      </c>
      <c r="V71" s="133">
        <f t="shared" si="42"/>
        <v>18626.669999999998</v>
      </c>
      <c r="W71" s="133">
        <f t="shared" si="43"/>
        <v>0</v>
      </c>
      <c r="X71" s="278">
        <f t="shared" si="28"/>
        <v>179.85220000000001</v>
      </c>
      <c r="Y71" s="278">
        <f t="shared" si="29"/>
        <v>-2.200000000016189E-3</v>
      </c>
      <c r="Z71" s="130">
        <f t="shared" si="30"/>
        <v>1188</v>
      </c>
      <c r="AA71" s="125">
        <f t="shared" si="31"/>
        <v>0.698221049721652</v>
      </c>
      <c r="AB71" s="132">
        <f t="shared" ca="1" si="33"/>
        <v>439.5836042584798</v>
      </c>
      <c r="AC71" s="132">
        <f t="shared" ca="1" si="34"/>
        <v>-4.1396269706480373</v>
      </c>
      <c r="AD71" s="131">
        <f t="shared" ca="1" si="7"/>
        <v>4.1398415799436128</v>
      </c>
      <c r="AE71" s="132">
        <f t="shared" ca="1" si="32"/>
        <v>2.1460929557551211E-4</v>
      </c>
      <c r="AF71" s="132">
        <f t="shared" ca="1" si="35"/>
        <v>443.7232312291278</v>
      </c>
      <c r="AH71" s="126">
        <f t="shared" si="8"/>
        <v>46027</v>
      </c>
      <c r="AI71" s="127">
        <f t="shared" si="9"/>
        <v>679.65158194444439</v>
      </c>
    </row>
    <row r="72" spans="1:35" ht="13.8" outlineLevel="1" x14ac:dyDescent="0.3">
      <c r="A72" s="24">
        <f t="shared" si="44"/>
        <v>40</v>
      </c>
      <c r="B72" s="24">
        <f t="shared" si="39"/>
        <v>1</v>
      </c>
      <c r="C72" s="128">
        <f t="shared" si="45"/>
        <v>46058</v>
      </c>
      <c r="D72" s="129" t="str">
        <f t="shared" si="40"/>
        <v/>
      </c>
      <c r="E72" s="130">
        <f t="shared" si="36"/>
        <v>40</v>
      </c>
      <c r="F72" s="130">
        <f t="shared" si="46"/>
        <v>40</v>
      </c>
      <c r="G72" s="131">
        <f t="shared" si="47"/>
        <v>360</v>
      </c>
      <c r="H72" s="132">
        <f t="shared" si="48"/>
        <v>11.5</v>
      </c>
      <c r="I72" s="130">
        <f t="shared" si="49"/>
        <v>31</v>
      </c>
      <c r="J72" s="133">
        <f t="shared" si="50"/>
        <v>18626.669999999998</v>
      </c>
      <c r="K72" s="124">
        <f t="shared" si="37"/>
        <v>475.48847222222236</v>
      </c>
      <c r="L72" s="132">
        <f t="shared" si="38"/>
        <v>175.42</v>
      </c>
      <c r="M72" s="132">
        <f t="shared" si="51"/>
        <v>4.3031097222222217</v>
      </c>
      <c r="N72" s="132">
        <f t="shared" si="52"/>
        <v>179.7231097222222</v>
      </c>
      <c r="O72" s="132">
        <f t="shared" si="53"/>
        <v>655.21158194444456</v>
      </c>
      <c r="P72" s="132">
        <f t="shared" si="54"/>
        <v>10</v>
      </c>
      <c r="Q72" s="132">
        <f t="shared" si="55"/>
        <v>14.44</v>
      </c>
      <c r="R72" s="132"/>
      <c r="S72" s="125">
        <f t="shared" si="56"/>
        <v>0</v>
      </c>
      <c r="T72" s="132">
        <f t="shared" si="41"/>
        <v>14.44</v>
      </c>
      <c r="U72" s="125">
        <f t="shared" si="27"/>
        <v>679.65158194444462</v>
      </c>
      <c r="V72" s="133">
        <f t="shared" si="42"/>
        <v>18151.18</v>
      </c>
      <c r="W72" s="133">
        <f t="shared" si="43"/>
        <v>0</v>
      </c>
      <c r="X72" s="278">
        <f t="shared" si="28"/>
        <v>175.41929999999999</v>
      </c>
      <c r="Y72" s="278">
        <f t="shared" si="29"/>
        <v>6.9999999999481588E-4</v>
      </c>
      <c r="Z72" s="130">
        <f t="shared" si="30"/>
        <v>1219</v>
      </c>
      <c r="AA72" s="125">
        <f t="shared" si="31"/>
        <v>0.69170680180273059</v>
      </c>
      <c r="AB72" s="132">
        <f t="shared" ca="1" si="33"/>
        <v>443.7232312291278</v>
      </c>
      <c r="AC72" s="132">
        <f t="shared" ca="1" si="34"/>
        <v>-4.1786125008009494</v>
      </c>
      <c r="AD72" s="131">
        <f t="shared" ca="1" si="7"/>
        <v>4.1788271100965249</v>
      </c>
      <c r="AE72" s="132">
        <f t="shared" ca="1" si="32"/>
        <v>2.1460929557551211E-4</v>
      </c>
      <c r="AF72" s="132">
        <f t="shared" ca="1" si="35"/>
        <v>447.90184372992877</v>
      </c>
      <c r="AH72" s="126">
        <f t="shared" si="8"/>
        <v>46058</v>
      </c>
      <c r="AI72" s="127">
        <f t="shared" si="9"/>
        <v>679.65158194444462</v>
      </c>
    </row>
    <row r="73" spans="1:35" ht="13.8" outlineLevel="1" x14ac:dyDescent="0.3">
      <c r="A73" s="24">
        <f t="shared" si="44"/>
        <v>41</v>
      </c>
      <c r="B73" s="24">
        <f t="shared" si="39"/>
        <v>1</v>
      </c>
      <c r="C73" s="128">
        <f t="shared" si="45"/>
        <v>46086</v>
      </c>
      <c r="D73" s="129" t="str">
        <f t="shared" si="40"/>
        <v/>
      </c>
      <c r="E73" s="130">
        <f t="shared" si="36"/>
        <v>41</v>
      </c>
      <c r="F73" s="130">
        <f t="shared" si="46"/>
        <v>41</v>
      </c>
      <c r="G73" s="131">
        <f t="shared" si="47"/>
        <v>360</v>
      </c>
      <c r="H73" s="132">
        <f t="shared" si="48"/>
        <v>11.5</v>
      </c>
      <c r="I73" s="130">
        <f t="shared" si="49"/>
        <v>28</v>
      </c>
      <c r="J73" s="133">
        <f t="shared" si="50"/>
        <v>18151.18</v>
      </c>
      <c r="K73" s="124">
        <f t="shared" si="37"/>
        <v>498.30847222222229</v>
      </c>
      <c r="L73" s="132">
        <f t="shared" si="38"/>
        <v>154.33000000000001</v>
      </c>
      <c r="M73" s="132">
        <f t="shared" si="51"/>
        <v>4.3031097222222217</v>
      </c>
      <c r="N73" s="132">
        <f t="shared" si="52"/>
        <v>158.63310972222223</v>
      </c>
      <c r="O73" s="132">
        <f t="shared" si="53"/>
        <v>656.94158194444447</v>
      </c>
      <c r="P73" s="132">
        <f t="shared" si="54"/>
        <v>10</v>
      </c>
      <c r="Q73" s="132">
        <f t="shared" si="55"/>
        <v>12.71</v>
      </c>
      <c r="R73" s="132"/>
      <c r="S73" s="125">
        <f t="shared" si="56"/>
        <v>0</v>
      </c>
      <c r="T73" s="132">
        <f t="shared" si="41"/>
        <v>12.71</v>
      </c>
      <c r="U73" s="125">
        <f t="shared" si="27"/>
        <v>679.6515819444445</v>
      </c>
      <c r="V73" s="133">
        <f t="shared" si="42"/>
        <v>17652.87</v>
      </c>
      <c r="W73" s="133">
        <f t="shared" si="43"/>
        <v>0</v>
      </c>
      <c r="X73" s="278">
        <f t="shared" si="28"/>
        <v>154.32849999999999</v>
      </c>
      <c r="Y73" s="278">
        <f t="shared" si="29"/>
        <v>1.5000000000213731E-3</v>
      </c>
      <c r="Z73" s="130">
        <f t="shared" si="30"/>
        <v>1247</v>
      </c>
      <c r="AA73" s="125">
        <f t="shared" si="31"/>
        <v>0.68587521942614205</v>
      </c>
      <c r="AB73" s="132">
        <f t="shared" ca="1" si="33"/>
        <v>447.90184372992877</v>
      </c>
      <c r="AC73" s="132">
        <f t="shared" ca="1" si="34"/>
        <v>-3.8080240095633124</v>
      </c>
      <c r="AD73" s="131">
        <f t="shared" ca="1" si="7"/>
        <v>3.8082386188588879</v>
      </c>
      <c r="AE73" s="132">
        <f t="shared" ca="1" si="32"/>
        <v>2.1460929557551211E-4</v>
      </c>
      <c r="AF73" s="132">
        <f t="shared" ca="1" si="35"/>
        <v>451.7098677394921</v>
      </c>
      <c r="AH73" s="126">
        <f t="shared" si="8"/>
        <v>46086</v>
      </c>
      <c r="AI73" s="127">
        <f t="shared" si="9"/>
        <v>679.6515819444445</v>
      </c>
    </row>
    <row r="74" spans="1:35" ht="13.8" outlineLevel="1" x14ac:dyDescent="0.3">
      <c r="A74" s="24">
        <f t="shared" si="44"/>
        <v>42</v>
      </c>
      <c r="B74" s="24">
        <f t="shared" si="39"/>
        <v>1</v>
      </c>
      <c r="C74" s="128">
        <f t="shared" si="45"/>
        <v>46117</v>
      </c>
      <c r="D74" s="129" t="str">
        <f t="shared" si="40"/>
        <v/>
      </c>
      <c r="E74" s="130">
        <f t="shared" si="36"/>
        <v>42</v>
      </c>
      <c r="F74" s="130">
        <f t="shared" si="46"/>
        <v>42</v>
      </c>
      <c r="G74" s="131">
        <f t="shared" si="47"/>
        <v>360</v>
      </c>
      <c r="H74" s="132">
        <f t="shared" si="48"/>
        <v>11.5</v>
      </c>
      <c r="I74" s="130">
        <f t="shared" si="49"/>
        <v>31</v>
      </c>
      <c r="J74" s="133">
        <f t="shared" si="50"/>
        <v>17652.87</v>
      </c>
      <c r="K74" s="124">
        <f t="shared" si="37"/>
        <v>485.41847222222231</v>
      </c>
      <c r="L74" s="132">
        <f t="shared" si="38"/>
        <v>166.25</v>
      </c>
      <c r="M74" s="132">
        <f t="shared" si="51"/>
        <v>4.3031097222222217</v>
      </c>
      <c r="N74" s="132">
        <f t="shared" si="52"/>
        <v>170.55310972222222</v>
      </c>
      <c r="O74" s="132">
        <f t="shared" si="53"/>
        <v>655.97158194444455</v>
      </c>
      <c r="P74" s="132">
        <f t="shared" si="54"/>
        <v>10</v>
      </c>
      <c r="Q74" s="132">
        <f t="shared" si="55"/>
        <v>13.68</v>
      </c>
      <c r="R74" s="132"/>
      <c r="S74" s="125">
        <f t="shared" si="56"/>
        <v>0</v>
      </c>
      <c r="T74" s="132">
        <f t="shared" si="41"/>
        <v>13.68</v>
      </c>
      <c r="U74" s="125">
        <f t="shared" si="27"/>
        <v>679.6515819444445</v>
      </c>
      <c r="V74" s="133">
        <f t="shared" si="42"/>
        <v>17167.45</v>
      </c>
      <c r="W74" s="133">
        <f t="shared" si="43"/>
        <v>0</v>
      </c>
      <c r="X74" s="278">
        <f t="shared" si="28"/>
        <v>166.2484</v>
      </c>
      <c r="Y74" s="278">
        <f t="shared" si="29"/>
        <v>1.5999999999962711E-3</v>
      </c>
      <c r="Z74" s="130">
        <f t="shared" si="30"/>
        <v>1278</v>
      </c>
      <c r="AA74" s="125">
        <f t="shared" si="31"/>
        <v>0.67947615537247652</v>
      </c>
      <c r="AB74" s="132">
        <f t="shared" ca="1" si="33"/>
        <v>451.7098677394921</v>
      </c>
      <c r="AC74" s="132">
        <f t="shared" ca="1" si="34"/>
        <v>-4.2538277945225511</v>
      </c>
      <c r="AD74" s="131">
        <f t="shared" ca="1" si="7"/>
        <v>4.2540424038181266</v>
      </c>
      <c r="AE74" s="132">
        <f t="shared" ca="1" si="32"/>
        <v>2.1460929557551211E-4</v>
      </c>
      <c r="AF74" s="132">
        <f t="shared" ca="1" si="35"/>
        <v>455.96369553401468</v>
      </c>
      <c r="AH74" s="126">
        <f t="shared" si="8"/>
        <v>46117</v>
      </c>
      <c r="AI74" s="127">
        <f t="shared" si="9"/>
        <v>679.6515819444445</v>
      </c>
    </row>
    <row r="75" spans="1:35" ht="13.8" outlineLevel="1" x14ac:dyDescent="0.3">
      <c r="A75" s="24">
        <f t="shared" si="44"/>
        <v>43</v>
      </c>
      <c r="B75" s="24">
        <f t="shared" si="39"/>
        <v>1</v>
      </c>
      <c r="C75" s="128">
        <f t="shared" si="45"/>
        <v>46147</v>
      </c>
      <c r="D75" s="129" t="str">
        <f t="shared" si="40"/>
        <v/>
      </c>
      <c r="E75" s="130">
        <f t="shared" si="36"/>
        <v>43</v>
      </c>
      <c r="F75" s="130">
        <f t="shared" si="46"/>
        <v>43</v>
      </c>
      <c r="G75" s="131">
        <f t="shared" si="47"/>
        <v>360</v>
      </c>
      <c r="H75" s="132">
        <f t="shared" si="48"/>
        <v>11.5</v>
      </c>
      <c r="I75" s="130">
        <f t="shared" si="49"/>
        <v>30</v>
      </c>
      <c r="J75" s="133">
        <f t="shared" si="50"/>
        <v>17167.45</v>
      </c>
      <c r="K75" s="124">
        <f t="shared" si="37"/>
        <v>496.02847222222232</v>
      </c>
      <c r="L75" s="132">
        <f t="shared" si="38"/>
        <v>156.44</v>
      </c>
      <c r="M75" s="132">
        <f t="shared" si="51"/>
        <v>4.3031097222222217</v>
      </c>
      <c r="N75" s="132">
        <f t="shared" si="52"/>
        <v>160.74310972222221</v>
      </c>
      <c r="O75" s="132">
        <f t="shared" si="53"/>
        <v>656.77158194444451</v>
      </c>
      <c r="P75" s="132">
        <f t="shared" si="54"/>
        <v>10</v>
      </c>
      <c r="Q75" s="132">
        <f t="shared" si="55"/>
        <v>12.88</v>
      </c>
      <c r="R75" s="132"/>
      <c r="S75" s="125">
        <f t="shared" si="56"/>
        <v>0</v>
      </c>
      <c r="T75" s="132">
        <f t="shared" si="41"/>
        <v>12.88</v>
      </c>
      <c r="U75" s="125">
        <f t="shared" si="27"/>
        <v>679.6515819444445</v>
      </c>
      <c r="V75" s="133">
        <f t="shared" si="42"/>
        <v>16671.419999999998</v>
      </c>
      <c r="W75" s="133">
        <f t="shared" si="43"/>
        <v>0</v>
      </c>
      <c r="X75" s="278">
        <f t="shared" si="28"/>
        <v>156.43780000000001</v>
      </c>
      <c r="Y75" s="278">
        <f t="shared" si="29"/>
        <v>2.1999999999877673E-3</v>
      </c>
      <c r="Z75" s="130">
        <f t="shared" si="30"/>
        <v>1308</v>
      </c>
      <c r="AA75" s="125">
        <f t="shared" si="31"/>
        <v>0.67334036257125207</v>
      </c>
      <c r="AB75" s="132">
        <f t="shared" ca="1" si="33"/>
        <v>455.96369553401468</v>
      </c>
      <c r="AC75" s="132">
        <f t="shared" ca="1" si="34"/>
        <v>-4.1547401746325159</v>
      </c>
      <c r="AD75" s="131">
        <f t="shared" ca="1" si="7"/>
        <v>4.1549547839280914</v>
      </c>
      <c r="AE75" s="132">
        <f t="shared" ca="1" si="32"/>
        <v>2.1460929557551211E-4</v>
      </c>
      <c r="AF75" s="132">
        <f t="shared" ca="1" si="35"/>
        <v>460.11843570864721</v>
      </c>
      <c r="AH75" s="126">
        <f t="shared" si="8"/>
        <v>46147</v>
      </c>
      <c r="AI75" s="127">
        <f t="shared" si="9"/>
        <v>679.6515819444445</v>
      </c>
    </row>
    <row r="76" spans="1:35" ht="13.8" outlineLevel="1" x14ac:dyDescent="0.3">
      <c r="A76" s="24">
        <f t="shared" si="44"/>
        <v>44</v>
      </c>
      <c r="B76" s="24">
        <f t="shared" si="39"/>
        <v>1</v>
      </c>
      <c r="C76" s="128">
        <f t="shared" si="45"/>
        <v>46178</v>
      </c>
      <c r="D76" s="129" t="str">
        <f t="shared" si="40"/>
        <v/>
      </c>
      <c r="E76" s="130">
        <f t="shared" si="36"/>
        <v>44</v>
      </c>
      <c r="F76" s="130">
        <f t="shared" si="46"/>
        <v>44</v>
      </c>
      <c r="G76" s="131">
        <f t="shared" si="47"/>
        <v>360</v>
      </c>
      <c r="H76" s="132">
        <f t="shared" si="48"/>
        <v>11.5</v>
      </c>
      <c r="I76" s="130">
        <f t="shared" si="49"/>
        <v>31</v>
      </c>
      <c r="J76" s="133">
        <f t="shared" si="50"/>
        <v>16671.419999999998</v>
      </c>
      <c r="K76" s="124">
        <f t="shared" si="37"/>
        <v>495.41847222222231</v>
      </c>
      <c r="L76" s="132">
        <f t="shared" si="38"/>
        <v>157.01</v>
      </c>
      <c r="M76" s="132">
        <f t="shared" si="51"/>
        <v>4.3031097222222217</v>
      </c>
      <c r="N76" s="132">
        <f t="shared" si="52"/>
        <v>161.31310972222221</v>
      </c>
      <c r="O76" s="132">
        <f t="shared" si="53"/>
        <v>656.73158194444454</v>
      </c>
      <c r="P76" s="132">
        <f t="shared" si="54"/>
        <v>10</v>
      </c>
      <c r="Q76" s="132">
        <f t="shared" si="55"/>
        <v>12.92</v>
      </c>
      <c r="R76" s="132"/>
      <c r="S76" s="125">
        <f t="shared" si="56"/>
        <v>0</v>
      </c>
      <c r="T76" s="132">
        <f t="shared" si="41"/>
        <v>12.92</v>
      </c>
      <c r="U76" s="125">
        <f t="shared" si="27"/>
        <v>679.6515819444445</v>
      </c>
      <c r="V76" s="133">
        <f t="shared" si="42"/>
        <v>16176</v>
      </c>
      <c r="W76" s="133">
        <f t="shared" si="43"/>
        <v>0</v>
      </c>
      <c r="X76" s="278">
        <f t="shared" si="28"/>
        <v>157.00550000000001</v>
      </c>
      <c r="Y76" s="278">
        <f t="shared" si="29"/>
        <v>4.4999999999788542E-3</v>
      </c>
      <c r="Z76" s="130">
        <f t="shared" si="30"/>
        <v>1339</v>
      </c>
      <c r="AA76" s="125">
        <f t="shared" si="31"/>
        <v>0.66705824595882091</v>
      </c>
      <c r="AB76" s="132">
        <f t="shared" ca="1" si="33"/>
        <v>460.11843570864721</v>
      </c>
      <c r="AC76" s="132">
        <f t="shared" ca="1" si="34"/>
        <v>-4.3330166882148227</v>
      </c>
      <c r="AD76" s="131">
        <f t="shared" ca="1" si="7"/>
        <v>4.3332312975103982</v>
      </c>
      <c r="AE76" s="132">
        <f t="shared" ca="1" si="32"/>
        <v>2.1460929557551211E-4</v>
      </c>
      <c r="AF76" s="132">
        <f t="shared" ca="1" si="35"/>
        <v>464.45145239686201</v>
      </c>
      <c r="AH76" s="126">
        <f t="shared" si="8"/>
        <v>46178</v>
      </c>
      <c r="AI76" s="127">
        <f t="shared" si="9"/>
        <v>679.6515819444445</v>
      </c>
    </row>
    <row r="77" spans="1:35" ht="13.8" outlineLevel="1" x14ac:dyDescent="0.3">
      <c r="A77" s="24">
        <f t="shared" si="44"/>
        <v>45</v>
      </c>
      <c r="B77" s="24">
        <f t="shared" si="39"/>
        <v>1</v>
      </c>
      <c r="C77" s="128">
        <f t="shared" si="45"/>
        <v>46208</v>
      </c>
      <c r="D77" s="129" t="str">
        <f t="shared" si="40"/>
        <v/>
      </c>
      <c r="E77" s="130">
        <f t="shared" si="36"/>
        <v>45</v>
      </c>
      <c r="F77" s="130">
        <f t="shared" si="46"/>
        <v>45</v>
      </c>
      <c r="G77" s="131">
        <f t="shared" si="47"/>
        <v>360</v>
      </c>
      <c r="H77" s="132">
        <f t="shared" si="48"/>
        <v>11.5</v>
      </c>
      <c r="I77" s="130">
        <f t="shared" si="49"/>
        <v>30</v>
      </c>
      <c r="J77" s="133">
        <f t="shared" si="50"/>
        <v>16176</v>
      </c>
      <c r="K77" s="124">
        <f t="shared" si="37"/>
        <v>505.81847222222234</v>
      </c>
      <c r="L77" s="132">
        <f t="shared" si="38"/>
        <v>147.4</v>
      </c>
      <c r="M77" s="132">
        <f t="shared" si="51"/>
        <v>4.3031097222222217</v>
      </c>
      <c r="N77" s="132">
        <f t="shared" si="52"/>
        <v>151.70310972222222</v>
      </c>
      <c r="O77" s="132">
        <f t="shared" si="53"/>
        <v>657.52158194444451</v>
      </c>
      <c r="P77" s="132">
        <f t="shared" si="54"/>
        <v>10</v>
      </c>
      <c r="Q77" s="132">
        <f t="shared" si="55"/>
        <v>12.13</v>
      </c>
      <c r="R77" s="132"/>
      <c r="S77" s="125">
        <f t="shared" si="56"/>
        <v>0</v>
      </c>
      <c r="T77" s="132">
        <f t="shared" si="41"/>
        <v>12.13</v>
      </c>
      <c r="U77" s="125">
        <f t="shared" si="27"/>
        <v>679.6515819444445</v>
      </c>
      <c r="V77" s="133">
        <f t="shared" si="42"/>
        <v>15670.18</v>
      </c>
      <c r="W77" s="133">
        <f t="shared" si="43"/>
        <v>0</v>
      </c>
      <c r="X77" s="278">
        <f t="shared" si="28"/>
        <v>147.4033</v>
      </c>
      <c r="Y77" s="278">
        <f t="shared" si="29"/>
        <v>-3.2999999999958618E-3</v>
      </c>
      <c r="Z77" s="130">
        <f t="shared" si="30"/>
        <v>1369</v>
      </c>
      <c r="AA77" s="125">
        <f t="shared" si="31"/>
        <v>0.66103458912967461</v>
      </c>
      <c r="AB77" s="132">
        <f t="shared" ca="1" si="33"/>
        <v>464.45145239686201</v>
      </c>
      <c r="AC77" s="132">
        <f t="shared" ca="1" si="34"/>
        <v>-4.2320845911453331</v>
      </c>
      <c r="AD77" s="131">
        <f t="shared" ca="1" si="7"/>
        <v>4.2322992004409086</v>
      </c>
      <c r="AE77" s="132">
        <f t="shared" ca="1" si="32"/>
        <v>2.1460929557551211E-4</v>
      </c>
      <c r="AF77" s="132">
        <f t="shared" ca="1" si="35"/>
        <v>468.68353698800735</v>
      </c>
      <c r="AH77" s="126">
        <f t="shared" si="8"/>
        <v>46208</v>
      </c>
      <c r="AI77" s="127">
        <f t="shared" si="9"/>
        <v>679.6515819444445</v>
      </c>
    </row>
    <row r="78" spans="1:35" ht="13.8" outlineLevel="1" x14ac:dyDescent="0.3">
      <c r="A78" s="24">
        <f t="shared" si="44"/>
        <v>46</v>
      </c>
      <c r="B78" s="24">
        <f t="shared" si="39"/>
        <v>1</v>
      </c>
      <c r="C78" s="128">
        <f t="shared" si="45"/>
        <v>46239</v>
      </c>
      <c r="D78" s="129" t="str">
        <f t="shared" si="40"/>
        <v/>
      </c>
      <c r="E78" s="130">
        <f t="shared" si="36"/>
        <v>46</v>
      </c>
      <c r="F78" s="130">
        <f t="shared" si="46"/>
        <v>46</v>
      </c>
      <c r="G78" s="131">
        <f t="shared" si="47"/>
        <v>360</v>
      </c>
      <c r="H78" s="132">
        <f t="shared" si="48"/>
        <v>11.5</v>
      </c>
      <c r="I78" s="130">
        <f t="shared" si="49"/>
        <v>31</v>
      </c>
      <c r="J78" s="133">
        <f t="shared" si="50"/>
        <v>15670.18</v>
      </c>
      <c r="K78" s="124">
        <f t="shared" si="37"/>
        <v>505.62847222222229</v>
      </c>
      <c r="L78" s="132">
        <f t="shared" si="38"/>
        <v>147.58000000000001</v>
      </c>
      <c r="M78" s="132">
        <f t="shared" si="51"/>
        <v>4.3031097222222217</v>
      </c>
      <c r="N78" s="132">
        <f t="shared" si="52"/>
        <v>151.88310972222223</v>
      </c>
      <c r="O78" s="132">
        <f t="shared" si="53"/>
        <v>657.51158194444452</v>
      </c>
      <c r="P78" s="132">
        <f t="shared" si="54"/>
        <v>10</v>
      </c>
      <c r="Q78" s="132">
        <f t="shared" si="55"/>
        <v>12.14</v>
      </c>
      <c r="R78" s="132"/>
      <c r="S78" s="125">
        <f t="shared" si="56"/>
        <v>0</v>
      </c>
      <c r="T78" s="132">
        <f t="shared" si="41"/>
        <v>12.14</v>
      </c>
      <c r="U78" s="125">
        <f t="shared" si="27"/>
        <v>679.6515819444445</v>
      </c>
      <c r="V78" s="133">
        <f t="shared" si="42"/>
        <v>15164.55</v>
      </c>
      <c r="W78" s="133">
        <f t="shared" si="43"/>
        <v>0</v>
      </c>
      <c r="X78" s="278">
        <f t="shared" si="28"/>
        <v>147.5762</v>
      </c>
      <c r="Y78" s="278">
        <f t="shared" si="29"/>
        <v>3.8000000000124601E-3</v>
      </c>
      <c r="Z78" s="130">
        <f t="shared" si="30"/>
        <v>1400</v>
      </c>
      <c r="AA78" s="125">
        <f t="shared" si="31"/>
        <v>0.6548672826609141</v>
      </c>
      <c r="AB78" s="132">
        <f t="shared" ca="1" si="33"/>
        <v>468.68353698800735</v>
      </c>
      <c r="AC78" s="132">
        <f t="shared" ca="1" si="34"/>
        <v>-4.4136797567852177</v>
      </c>
      <c r="AD78" s="131">
        <f t="shared" ca="1" si="7"/>
        <v>4.4138943660807932</v>
      </c>
      <c r="AE78" s="132">
        <f t="shared" ca="1" si="32"/>
        <v>2.1460929557551211E-4</v>
      </c>
      <c r="AF78" s="132">
        <f t="shared" ca="1" si="35"/>
        <v>473.09721674479255</v>
      </c>
      <c r="AH78" s="126">
        <f t="shared" si="8"/>
        <v>46239</v>
      </c>
      <c r="AI78" s="127">
        <f t="shared" si="9"/>
        <v>679.6515819444445</v>
      </c>
    </row>
    <row r="79" spans="1:35" ht="13.8" outlineLevel="1" x14ac:dyDescent="0.3">
      <c r="A79" s="24">
        <f t="shared" si="44"/>
        <v>47</v>
      </c>
      <c r="B79" s="24">
        <f t="shared" si="39"/>
        <v>1</v>
      </c>
      <c r="C79" s="128">
        <f t="shared" si="45"/>
        <v>46270</v>
      </c>
      <c r="D79" s="129" t="str">
        <f t="shared" si="40"/>
        <v/>
      </c>
      <c r="E79" s="130">
        <f t="shared" si="36"/>
        <v>47</v>
      </c>
      <c r="F79" s="130">
        <f t="shared" si="46"/>
        <v>47</v>
      </c>
      <c r="G79" s="131">
        <f t="shared" si="47"/>
        <v>360</v>
      </c>
      <c r="H79" s="132">
        <f t="shared" si="48"/>
        <v>11.5</v>
      </c>
      <c r="I79" s="130">
        <f t="shared" si="49"/>
        <v>31</v>
      </c>
      <c r="J79" s="133">
        <f t="shared" si="50"/>
        <v>15164.55</v>
      </c>
      <c r="K79" s="124">
        <f t="shared" si="37"/>
        <v>510.78847222222225</v>
      </c>
      <c r="L79" s="132">
        <f t="shared" si="38"/>
        <v>142.81</v>
      </c>
      <c r="M79" s="132">
        <f t="shared" si="51"/>
        <v>4.3031097222222217</v>
      </c>
      <c r="N79" s="132">
        <f t="shared" si="52"/>
        <v>147.11310972222222</v>
      </c>
      <c r="O79" s="132">
        <f t="shared" si="53"/>
        <v>657.90158194444439</v>
      </c>
      <c r="P79" s="132">
        <f t="shared" si="54"/>
        <v>10</v>
      </c>
      <c r="Q79" s="132">
        <f t="shared" si="55"/>
        <v>11.75</v>
      </c>
      <c r="R79" s="132"/>
      <c r="S79" s="125">
        <f t="shared" si="56"/>
        <v>0</v>
      </c>
      <c r="T79" s="132">
        <f t="shared" si="41"/>
        <v>11.75</v>
      </c>
      <c r="U79" s="125">
        <f t="shared" si="27"/>
        <v>679.65158194444439</v>
      </c>
      <c r="V79" s="133">
        <f t="shared" si="42"/>
        <v>14653.76</v>
      </c>
      <c r="W79" s="133">
        <f t="shared" si="43"/>
        <v>0</v>
      </c>
      <c r="X79" s="278">
        <f t="shared" si="28"/>
        <v>142.8143</v>
      </c>
      <c r="Y79" s="278">
        <f t="shared" si="29"/>
        <v>-4.3000000000006366E-3</v>
      </c>
      <c r="Z79" s="130">
        <f t="shared" si="30"/>
        <v>1431</v>
      </c>
      <c r="AA79" s="125">
        <f t="shared" si="31"/>
        <v>0.64875751579704743</v>
      </c>
      <c r="AB79" s="132">
        <f t="shared" ca="1" si="33"/>
        <v>473.09721674479255</v>
      </c>
      <c r="AC79" s="132">
        <f t="shared" ca="1" si="34"/>
        <v>-4.4552462183199175</v>
      </c>
      <c r="AD79" s="131">
        <f t="shared" ca="1" si="7"/>
        <v>4.455460827615493</v>
      </c>
      <c r="AE79" s="132">
        <f t="shared" ca="1" si="32"/>
        <v>2.1460929557551211E-4</v>
      </c>
      <c r="AF79" s="132">
        <f t="shared" ca="1" si="35"/>
        <v>477.55246296311248</v>
      </c>
      <c r="AH79" s="126">
        <f t="shared" si="8"/>
        <v>46270</v>
      </c>
      <c r="AI79" s="127">
        <f t="shared" si="9"/>
        <v>679.65158194444439</v>
      </c>
    </row>
    <row r="80" spans="1:35" ht="13.8" outlineLevel="1" x14ac:dyDescent="0.3">
      <c r="A80" s="24">
        <f t="shared" si="44"/>
        <v>48</v>
      </c>
      <c r="B80" s="24">
        <f t="shared" si="39"/>
        <v>1</v>
      </c>
      <c r="C80" s="128">
        <f t="shared" si="45"/>
        <v>46300</v>
      </c>
      <c r="D80" s="129" t="str">
        <f t="shared" si="40"/>
        <v/>
      </c>
      <c r="E80" s="130">
        <f t="shared" si="36"/>
        <v>48</v>
      </c>
      <c r="F80" s="130">
        <f t="shared" si="46"/>
        <v>48</v>
      </c>
      <c r="G80" s="131">
        <f t="shared" si="47"/>
        <v>360</v>
      </c>
      <c r="H80" s="132">
        <f t="shared" si="48"/>
        <v>11.5</v>
      </c>
      <c r="I80" s="130">
        <f t="shared" si="49"/>
        <v>30</v>
      </c>
      <c r="J80" s="133">
        <f t="shared" si="50"/>
        <v>14653.76</v>
      </c>
      <c r="K80" s="124">
        <f t="shared" si="37"/>
        <v>520.82847222222233</v>
      </c>
      <c r="L80" s="132">
        <f t="shared" si="38"/>
        <v>133.53</v>
      </c>
      <c r="M80" s="132">
        <f t="shared" si="51"/>
        <v>4.3031097222222217</v>
      </c>
      <c r="N80" s="132">
        <f t="shared" si="52"/>
        <v>137.83310972222222</v>
      </c>
      <c r="O80" s="132">
        <f t="shared" si="53"/>
        <v>658.66158194444449</v>
      </c>
      <c r="P80" s="132">
        <f t="shared" si="54"/>
        <v>10</v>
      </c>
      <c r="Q80" s="132">
        <f t="shared" si="55"/>
        <v>10.99</v>
      </c>
      <c r="R80" s="132"/>
      <c r="S80" s="125">
        <f t="shared" si="56"/>
        <v>0</v>
      </c>
      <c r="T80" s="132">
        <f t="shared" si="41"/>
        <v>10.99</v>
      </c>
      <c r="U80" s="125">
        <f t="shared" si="27"/>
        <v>679.6515819444445</v>
      </c>
      <c r="V80" s="133">
        <f t="shared" si="42"/>
        <v>14132.93</v>
      </c>
      <c r="W80" s="133">
        <f t="shared" si="43"/>
        <v>0</v>
      </c>
      <c r="X80" s="278">
        <f t="shared" si="28"/>
        <v>133.53190000000001</v>
      </c>
      <c r="Y80" s="278">
        <f t="shared" si="29"/>
        <v>-1.90000000000623E-3</v>
      </c>
      <c r="Z80" s="130">
        <f t="shared" si="30"/>
        <v>1461</v>
      </c>
      <c r="AA80" s="125">
        <f t="shared" si="31"/>
        <v>0.64289911787727705</v>
      </c>
      <c r="AB80" s="132">
        <f t="shared" ca="1" si="33"/>
        <v>477.55246296311248</v>
      </c>
      <c r="AC80" s="132">
        <f t="shared" ca="1" si="34"/>
        <v>-4.351467136421844</v>
      </c>
      <c r="AD80" s="131">
        <f t="shared" ca="1" si="7"/>
        <v>4.3516817457174195</v>
      </c>
      <c r="AE80" s="132">
        <f t="shared" ca="1" si="32"/>
        <v>2.1460929557551211E-4</v>
      </c>
      <c r="AF80" s="132">
        <f t="shared" ca="1" si="35"/>
        <v>481.90393009953431</v>
      </c>
      <c r="AH80" s="126">
        <f t="shared" si="8"/>
        <v>46300</v>
      </c>
      <c r="AI80" s="127">
        <f t="shared" si="9"/>
        <v>679.6515819444445</v>
      </c>
    </row>
    <row r="81" spans="1:35" ht="13.8" outlineLevel="1" x14ac:dyDescent="0.3">
      <c r="A81" s="24">
        <f t="shared" si="44"/>
        <v>49</v>
      </c>
      <c r="B81" s="24">
        <f t="shared" si="39"/>
        <v>1</v>
      </c>
      <c r="C81" s="128">
        <f t="shared" si="45"/>
        <v>46331</v>
      </c>
      <c r="D81" s="129" t="str">
        <f t="shared" si="40"/>
        <v/>
      </c>
      <c r="E81" s="130">
        <f t="shared" si="36"/>
        <v>49</v>
      </c>
      <c r="F81" s="130">
        <f t="shared" si="46"/>
        <v>49</v>
      </c>
      <c r="G81" s="131">
        <f t="shared" si="47"/>
        <v>360</v>
      </c>
      <c r="H81" s="132">
        <f t="shared" si="48"/>
        <v>11.5</v>
      </c>
      <c r="I81" s="130">
        <f t="shared" si="49"/>
        <v>31</v>
      </c>
      <c r="J81" s="133">
        <f t="shared" si="50"/>
        <v>14132.93</v>
      </c>
      <c r="K81" s="124">
        <f t="shared" si="37"/>
        <v>521.29847222222224</v>
      </c>
      <c r="L81" s="132">
        <f t="shared" si="38"/>
        <v>133.1</v>
      </c>
      <c r="M81" s="132">
        <f t="shared" si="51"/>
        <v>4.3031097222222217</v>
      </c>
      <c r="N81" s="132">
        <f t="shared" si="52"/>
        <v>137.40310972222221</v>
      </c>
      <c r="O81" s="132">
        <f t="shared" si="53"/>
        <v>658.70158194444446</v>
      </c>
      <c r="P81" s="132">
        <f t="shared" si="54"/>
        <v>10</v>
      </c>
      <c r="Q81" s="132">
        <f t="shared" si="55"/>
        <v>10.95</v>
      </c>
      <c r="R81" s="132"/>
      <c r="S81" s="125">
        <f t="shared" si="56"/>
        <v>0</v>
      </c>
      <c r="T81" s="132">
        <f t="shared" si="41"/>
        <v>10.95</v>
      </c>
      <c r="U81" s="125">
        <f t="shared" si="27"/>
        <v>679.6515819444445</v>
      </c>
      <c r="V81" s="133">
        <f t="shared" si="42"/>
        <v>13611.63</v>
      </c>
      <c r="W81" s="133">
        <f t="shared" si="43"/>
        <v>0</v>
      </c>
      <c r="X81" s="278">
        <f t="shared" si="28"/>
        <v>133.09889999999999</v>
      </c>
      <c r="Y81" s="278">
        <f t="shared" si="29"/>
        <v>1.1000000000080945E-3</v>
      </c>
      <c r="Z81" s="130">
        <f t="shared" si="30"/>
        <v>1492</v>
      </c>
      <c r="AA81" s="125">
        <f t="shared" si="31"/>
        <v>0.63690101134299537</v>
      </c>
      <c r="AB81" s="132">
        <f t="shared" ca="1" si="33"/>
        <v>481.90393009953431</v>
      </c>
      <c r="AC81" s="132">
        <f t="shared" ca="1" si="34"/>
        <v>-4.5381847032302121</v>
      </c>
      <c r="AD81" s="131">
        <f t="shared" ca="1" si="7"/>
        <v>4.5383993125257875</v>
      </c>
      <c r="AE81" s="132">
        <f t="shared" ca="1" si="32"/>
        <v>2.1460929557551211E-4</v>
      </c>
      <c r="AF81" s="132">
        <f t="shared" ca="1" si="35"/>
        <v>486.44211480276454</v>
      </c>
      <c r="AH81" s="126">
        <f t="shared" si="8"/>
        <v>46331</v>
      </c>
      <c r="AI81" s="127">
        <f t="shared" si="9"/>
        <v>679.6515819444445</v>
      </c>
    </row>
    <row r="82" spans="1:35" ht="13.8" outlineLevel="1" x14ac:dyDescent="0.3">
      <c r="A82" s="24">
        <f t="shared" si="44"/>
        <v>50</v>
      </c>
      <c r="B82" s="24">
        <f t="shared" si="39"/>
        <v>1</v>
      </c>
      <c r="C82" s="128">
        <f t="shared" si="45"/>
        <v>46361</v>
      </c>
      <c r="D82" s="129" t="str">
        <f t="shared" si="40"/>
        <v/>
      </c>
      <c r="E82" s="130">
        <f t="shared" si="36"/>
        <v>50</v>
      </c>
      <c r="F82" s="130">
        <f t="shared" si="46"/>
        <v>50</v>
      </c>
      <c r="G82" s="131">
        <f t="shared" si="47"/>
        <v>360</v>
      </c>
      <c r="H82" s="132">
        <f t="shared" si="48"/>
        <v>11.5</v>
      </c>
      <c r="I82" s="130">
        <f t="shared" si="49"/>
        <v>30</v>
      </c>
      <c r="J82" s="133">
        <f t="shared" si="50"/>
        <v>13611.63</v>
      </c>
      <c r="K82" s="124">
        <f t="shared" ref="K82" si="57">IF(B82="","",IF(((IF(ISERROR(MATCH(MONTH(C82),$H$18:$H$19,0))=FALSE,$J$24 + $Q$28,0) + $J$24+$Q$28+$S$26)-(IF($J$24+$Q$28 + $S$26&lt;ROUND(ROUND(J82*(((1+(H82/100))^(I82/G82))-1),4),2),$J$24+$Q$28 + $S$26-0.01,IF(ROUND(ROUND(J82*(((1+(H82/100))^(I82/G82))-1),4),2)+ $S$26&gt;$J$24,$J$24+ $S$26+-0.01,ROUND(ROUND(J82*(((1+(H82/100))^(I82/G82))-1),4),2)+$S$26)))- Q82-R82-S82)&lt;0,0.01,IF(ISERROR(MATCH(MONTH(C82),$H$18:$H$19,0))=FALSE,$J$24 + $Q$28,0)+ ($J$24+$Q$28+$S$26)-(IF($J$24+$Q$28 + $S$26&lt;ROUND(ROUND(J82*(((1+(H82/100))^(I82/G82))-1),4),2),$J$24+$Q$28 + $S$26-0.01,IF(ROUND(ROUND(J82*(((1+(H82/100))^(I82/G82))-1),4),2)+ $S$26&gt;$J$24,$J$24+ $S$26+-0.01,ROUND(ROUND(J82*(((1+(H82/100))^(I82/G82))-1),4),2)+$S$26)))- Q82-R82-S82))</f>
        <v>531.09847222222231</v>
      </c>
      <c r="L82" s="132">
        <f t="shared" ref="L82" si="58">IF(B82="","",IF(K82=0.01,+$J$24-K82-Q82-R82-S82+$Q$28,IF($J$24+$Q$28 + $S$26&lt;ROUND(ROUND(J82*(((1+(H82/100))^(I82/G82))-1),4),2),$J$24+$Q$28 + $S$26-0.01,IF(ROUND(ROUND(J82*(((1+(H82/100))^(I82/G82))-1),4),2)+ $S$26&gt;$J$24,$J$24+ $S$26+-0.01,ROUND(ROUND(J82*(((1+(H82/100))^(I82/G82))-1),4),2)+$S$26))))</f>
        <v>124.04</v>
      </c>
      <c r="M82" s="132">
        <f t="shared" si="51"/>
        <v>4.3031097222222217</v>
      </c>
      <c r="N82" s="132">
        <f t="shared" si="52"/>
        <v>128.34310972222224</v>
      </c>
      <c r="O82" s="132">
        <f t="shared" si="53"/>
        <v>659.44158194444447</v>
      </c>
      <c r="P82" s="132">
        <f t="shared" si="54"/>
        <v>10</v>
      </c>
      <c r="Q82" s="132">
        <f t="shared" si="55"/>
        <v>10.210000000000001</v>
      </c>
      <c r="R82" s="132"/>
      <c r="S82" s="125">
        <f t="shared" si="56"/>
        <v>0</v>
      </c>
      <c r="T82" s="132">
        <f t="shared" si="41"/>
        <v>10.210000000000001</v>
      </c>
      <c r="U82" s="125">
        <f t="shared" si="27"/>
        <v>679.6515819444445</v>
      </c>
      <c r="V82" s="133">
        <f t="shared" si="42"/>
        <v>13080.53</v>
      </c>
      <c r="W82" s="133">
        <f t="shared" si="43"/>
        <v>0</v>
      </c>
      <c r="X82" s="278">
        <f t="shared" si="28"/>
        <v>124.0355</v>
      </c>
      <c r="Y82" s="278">
        <f t="shared" si="29"/>
        <v>4.500000000007276E-3</v>
      </c>
      <c r="Z82" s="130">
        <f t="shared" si="30"/>
        <v>1522</v>
      </c>
      <c r="AA82" s="125">
        <f t="shared" si="31"/>
        <v>0.6311496798067936</v>
      </c>
      <c r="AB82" s="132">
        <f t="shared" ca="1" si="33"/>
        <v>486.44211480276454</v>
      </c>
      <c r="AC82" s="132">
        <f t="shared" ca="1" si="34"/>
        <v>-4.432473808225744</v>
      </c>
      <c r="AD82" s="131">
        <f t="shared" ca="1" si="7"/>
        <v>4.4326884175213195</v>
      </c>
      <c r="AE82" s="132">
        <f t="shared" ca="1" si="32"/>
        <v>2.1460929557551211E-4</v>
      </c>
      <c r="AF82" s="132">
        <f t="shared" ca="1" si="35"/>
        <v>490.87458861099026</v>
      </c>
      <c r="AH82" s="126">
        <f t="shared" si="8"/>
        <v>46361</v>
      </c>
      <c r="AI82" s="127">
        <f t="shared" si="9"/>
        <v>679.6515819444445</v>
      </c>
    </row>
    <row r="83" spans="1:35" ht="13.8" outlineLevel="1" x14ac:dyDescent="0.3">
      <c r="A83" s="24">
        <f t="shared" si="44"/>
        <v>51</v>
      </c>
      <c r="B83" s="24">
        <f t="shared" si="39"/>
        <v>1</v>
      </c>
      <c r="C83" s="128">
        <f t="shared" si="45"/>
        <v>46392</v>
      </c>
      <c r="D83" s="129" t="str">
        <f t="shared" si="40"/>
        <v/>
      </c>
      <c r="E83" s="130">
        <f t="shared" si="36"/>
        <v>51</v>
      </c>
      <c r="F83" s="130">
        <f t="shared" si="46"/>
        <v>51</v>
      </c>
      <c r="G83" s="131">
        <f t="shared" si="47"/>
        <v>360</v>
      </c>
      <c r="H83" s="132">
        <f t="shared" si="48"/>
        <v>11.5</v>
      </c>
      <c r="I83" s="130">
        <f t="shared" si="49"/>
        <v>31</v>
      </c>
      <c r="J83" s="133">
        <f t="shared" si="50"/>
        <v>13080.53</v>
      </c>
      <c r="K83" s="124">
        <f>IF(B83="","",IF(((IF(ISERROR(MATCH(MONTH(C83),$H$18:$H$19,0))=FALSE,$J$24 + $Q$28,0) + $J$24+$Q$28+$S$26)-(IF($J$24+$Q$28 + $S$26&lt;ROUND(ROUND(J83*(((1+(H83/100))^(I83/G83))-1),4),2),$J$24+$Q$28 + $S$26-0.01,IF(ROUND(ROUND(J83*(((1+(H83/100))^(I83/G83))-1),4),2)+ $S$26&gt;$J$24,$J$24+ $S$26+-0.01,ROUND(ROUND(J83*(((1+(H83/100))^(I83/G83))-1),4),2)+$S$26)))- Q83-R83-S83)&lt;0,0.01,IF(ISERROR(MATCH(MONTH(C83),$H$18:$H$19,0))=FALSE,$J$24 + $Q$28,0)+ ($J$24+$Q$28+$S$26)-(IF($J$24+$Q$28 + $S$26&lt;ROUND(ROUND(J83*(((1+(H83/100))^(I83/G83))-1),4),2),$J$24+$Q$28 + $S$26-0.01,IF(ROUND(ROUND(J83*(((1+(H83/100))^(I83/G83))-1),4),2)+ $S$26&gt;$J$24,$J$24+ $S$26+-0.01,ROUND(ROUND(J83*(((1+(H83/100))^(I83/G83))-1),4),2)+$S$26)))- Q83-R83-S83))</f>
        <v>532.01847222222239</v>
      </c>
      <c r="L83" s="132">
        <f>IF(B83="","",IF(K83=0.01,+$J$24-K83-Q83-R83-S83+$Q$28,IF($J$24+$Q$28 + $S$26&lt;ROUND(ROUND(J83*(((1+(H83/100))^(I83/G83))-1),4),2),$J$24+$Q$28 + $S$26-0.01,IF(ROUND(ROUND(J83*(((1+(H83/100))^(I83/G83))-1),4),2)+ $S$26&gt;$J$24,$J$24+ $S$26+-0.01,ROUND(ROUND(J83*(((1+(H83/100))^(I83/G83))-1),4),2)+$S$26))))</f>
        <v>123.19</v>
      </c>
      <c r="M83" s="132">
        <f t="shared" si="51"/>
        <v>4.3031097222222217</v>
      </c>
      <c r="N83" s="132">
        <f t="shared" si="52"/>
        <v>127.49310972222221</v>
      </c>
      <c r="O83" s="132">
        <f t="shared" si="53"/>
        <v>659.51158194444452</v>
      </c>
      <c r="P83" s="132">
        <f t="shared" si="54"/>
        <v>10</v>
      </c>
      <c r="Q83" s="132">
        <f t="shared" si="55"/>
        <v>10.14</v>
      </c>
      <c r="R83" s="132"/>
      <c r="S83" s="125">
        <f t="shared" si="56"/>
        <v>0</v>
      </c>
      <c r="T83" s="132">
        <f t="shared" si="41"/>
        <v>10.14</v>
      </c>
      <c r="U83" s="125">
        <f t="shared" si="27"/>
        <v>679.6515819444445</v>
      </c>
      <c r="V83" s="133">
        <f t="shared" si="42"/>
        <v>12548.51</v>
      </c>
      <c r="W83" s="133">
        <f t="shared" si="43"/>
        <v>0</v>
      </c>
      <c r="X83" s="278">
        <f t="shared" si="28"/>
        <v>123.1878</v>
      </c>
      <c r="Y83" s="278">
        <f t="shared" si="29"/>
        <v>2.2000000000019782E-3</v>
      </c>
      <c r="Z83" s="130">
        <f t="shared" si="30"/>
        <v>1553</v>
      </c>
      <c r="AA83" s="125">
        <f t="shared" si="31"/>
        <v>0.62526119293025451</v>
      </c>
      <c r="AB83" s="132">
        <f t="shared" ca="1" si="33"/>
        <v>490.87458861099026</v>
      </c>
      <c r="AC83" s="132">
        <f t="shared" ca="1" si="34"/>
        <v>-4.6226671651451552</v>
      </c>
      <c r="AD83" s="131">
        <f t="shared" ca="1" si="7"/>
        <v>4.6228817744407307</v>
      </c>
      <c r="AE83" s="132">
        <f t="shared" ca="1" si="32"/>
        <v>2.1460929557551211E-4</v>
      </c>
      <c r="AF83" s="132">
        <f t="shared" ca="1" si="35"/>
        <v>495.49725577613543</v>
      </c>
      <c r="AH83" s="126">
        <f t="shared" si="8"/>
        <v>46392</v>
      </c>
      <c r="AI83" s="127">
        <f t="shared" si="9"/>
        <v>679.6515819444445</v>
      </c>
    </row>
    <row r="84" spans="1:35" ht="13.8" outlineLevel="1" x14ac:dyDescent="0.3">
      <c r="A84" s="24">
        <f t="shared" si="44"/>
        <v>52</v>
      </c>
      <c r="B84" s="24">
        <f t="shared" si="39"/>
        <v>1</v>
      </c>
      <c r="C84" s="128">
        <f t="shared" si="45"/>
        <v>46423</v>
      </c>
      <c r="D84" s="129" t="str">
        <f t="shared" si="40"/>
        <v/>
      </c>
      <c r="E84" s="130">
        <f t="shared" si="36"/>
        <v>52</v>
      </c>
      <c r="F84" s="130">
        <f t="shared" si="46"/>
        <v>52</v>
      </c>
      <c r="G84" s="131">
        <f t="shared" si="47"/>
        <v>360</v>
      </c>
      <c r="H84" s="132">
        <f t="shared" si="48"/>
        <v>11.5</v>
      </c>
      <c r="I84" s="130">
        <f t="shared" si="49"/>
        <v>31</v>
      </c>
      <c r="J84" s="133">
        <f t="shared" si="50"/>
        <v>12548.51</v>
      </c>
      <c r="K84" s="124">
        <f t="shared" ref="K84:K104" si="59">IF(B84="","",IF(((IF(ISERROR(MATCH(MONTH(C84),$H$18:$H$19,0))=FALSE,$J$24 + $Q$28,0) + $J$24+$Q$28+$S$26)-(IF($J$24+$Q$28 + $S$26&lt;ROUND(ROUND(J84*(((1+(H84/100))^(I84/G84))-1),4),2),$J$24+$Q$28 + $S$26-0.01,IF(ROUND(ROUND(J84*(((1+(H84/100))^(I84/G84))-1),4),2)+ $S$26&gt;$J$24,$J$24+ $S$26+-0.01,ROUND(ROUND(J84*(((1+(H84/100))^(I84/G84))-1),4),2)+$S$26)))- Q84-R84-S84)&lt;0,0.01,IF(ISERROR(MATCH(MONTH(C84),$H$18:$H$19,0))=FALSE,$J$24 + $Q$28,0)+ ($J$24+$Q$28+$S$26)-(IF($J$24+$Q$28 + $S$26&lt;ROUND(ROUND(J84*(((1+(H84/100))^(I84/G84))-1),4),2),$J$24+$Q$28 + $S$26-0.01,IF(ROUND(ROUND(J84*(((1+(H84/100))^(I84/G84))-1),4),2)+ $S$26&gt;$J$24,$J$24+ $S$26+-0.01,ROUND(ROUND(J84*(((1+(H84/100))^(I84/G84))-1),4),2)+$S$26)))- Q84-R84-S84))</f>
        <v>537.43847222222234</v>
      </c>
      <c r="L84" s="132">
        <f t="shared" ref="L84:L104" si="60">IF(B84="","",IF(K84=0.01,+$J$24-K84-Q84-R84-S84+$Q$28,IF($J$24+$Q$28 + $S$26&lt;ROUND(ROUND(J84*(((1+(H84/100))^(I84/G84))-1),4),2),$J$24+$Q$28 + $S$26-0.01,IF(ROUND(ROUND(J84*(((1+(H84/100))^(I84/G84))-1),4),2)+ $S$26&gt;$J$24,$J$24+ $S$26+-0.01,ROUND(ROUND(J84*(((1+(H84/100))^(I84/G84))-1),4),2)+$S$26))))</f>
        <v>118.18</v>
      </c>
      <c r="M84" s="132">
        <f t="shared" si="51"/>
        <v>4.3031097222222217</v>
      </c>
      <c r="N84" s="132">
        <f t="shared" si="52"/>
        <v>122.48310972222222</v>
      </c>
      <c r="O84" s="132">
        <f t="shared" si="53"/>
        <v>659.9215819444446</v>
      </c>
      <c r="P84" s="132">
        <f t="shared" si="54"/>
        <v>10</v>
      </c>
      <c r="Q84" s="132">
        <f t="shared" si="55"/>
        <v>9.73</v>
      </c>
      <c r="R84" s="132"/>
      <c r="S84" s="125">
        <f t="shared" si="56"/>
        <v>0</v>
      </c>
      <c r="T84" s="132">
        <f t="shared" si="41"/>
        <v>9.73</v>
      </c>
      <c r="U84" s="125">
        <f t="shared" si="27"/>
        <v>679.65158194444462</v>
      </c>
      <c r="V84" s="133">
        <f t="shared" si="42"/>
        <v>12011.07</v>
      </c>
      <c r="W84" s="133">
        <f t="shared" si="43"/>
        <v>0</v>
      </c>
      <c r="X84" s="278">
        <f t="shared" si="28"/>
        <v>118.17740000000001</v>
      </c>
      <c r="Y84" s="278">
        <f t="shared" si="29"/>
        <v>2.6000000000010459E-3</v>
      </c>
      <c r="Z84" s="130">
        <f t="shared" si="30"/>
        <v>1584</v>
      </c>
      <c r="AA84" s="125">
        <f t="shared" si="31"/>
        <v>0.61942764433349995</v>
      </c>
      <c r="AB84" s="132">
        <f t="shared" ca="1" si="33"/>
        <v>495.49725577613543</v>
      </c>
      <c r="AC84" s="132">
        <f t="shared" ca="1" si="34"/>
        <v>-4.6662017955433699</v>
      </c>
      <c r="AD84" s="131">
        <f t="shared" ca="1" si="7"/>
        <v>4.6664164048389454</v>
      </c>
      <c r="AE84" s="132">
        <f t="shared" ca="1" si="32"/>
        <v>2.1460929557551211E-4</v>
      </c>
      <c r="AF84" s="132">
        <f t="shared" ca="1" si="35"/>
        <v>500.1634575716788</v>
      </c>
      <c r="AH84" s="126">
        <f t="shared" si="8"/>
        <v>46423</v>
      </c>
      <c r="AI84" s="127">
        <f t="shared" si="9"/>
        <v>679.65158194444462</v>
      </c>
    </row>
    <row r="85" spans="1:35" ht="13.8" outlineLevel="1" x14ac:dyDescent="0.3">
      <c r="A85" s="24">
        <f t="shared" si="44"/>
        <v>53</v>
      </c>
      <c r="B85" s="24">
        <f t="shared" si="39"/>
        <v>1</v>
      </c>
      <c r="C85" s="128">
        <f t="shared" si="45"/>
        <v>46451</v>
      </c>
      <c r="D85" s="129" t="str">
        <f t="shared" si="40"/>
        <v/>
      </c>
      <c r="E85" s="130">
        <f t="shared" si="36"/>
        <v>53</v>
      </c>
      <c r="F85" s="130">
        <f t="shared" si="46"/>
        <v>53</v>
      </c>
      <c r="G85" s="131">
        <f t="shared" si="47"/>
        <v>360</v>
      </c>
      <c r="H85" s="132">
        <f t="shared" si="48"/>
        <v>11.5</v>
      </c>
      <c r="I85" s="130">
        <f t="shared" si="49"/>
        <v>28</v>
      </c>
      <c r="J85" s="133">
        <f t="shared" si="50"/>
        <v>12011.07</v>
      </c>
      <c r="K85" s="124">
        <f t="shared" si="59"/>
        <v>554.81847222222234</v>
      </c>
      <c r="L85" s="132">
        <f t="shared" si="60"/>
        <v>102.12</v>
      </c>
      <c r="M85" s="132">
        <f t="shared" si="51"/>
        <v>4.3031097222222217</v>
      </c>
      <c r="N85" s="132">
        <f t="shared" si="52"/>
        <v>106.42310972222222</v>
      </c>
      <c r="O85" s="132">
        <f t="shared" si="53"/>
        <v>661.24158194444453</v>
      </c>
      <c r="P85" s="132">
        <f t="shared" si="54"/>
        <v>10</v>
      </c>
      <c r="Q85" s="132">
        <f t="shared" si="55"/>
        <v>8.41</v>
      </c>
      <c r="R85" s="132"/>
      <c r="S85" s="125">
        <f t="shared" si="56"/>
        <v>0</v>
      </c>
      <c r="T85" s="132">
        <f t="shared" si="41"/>
        <v>8.41</v>
      </c>
      <c r="U85" s="125">
        <f t="shared" si="27"/>
        <v>679.6515819444445</v>
      </c>
      <c r="V85" s="133">
        <f t="shared" si="42"/>
        <v>11456.25</v>
      </c>
      <c r="W85" s="133">
        <f t="shared" si="43"/>
        <v>0</v>
      </c>
      <c r="X85" s="278">
        <f t="shared" si="28"/>
        <v>102.1229</v>
      </c>
      <c r="Y85" s="278">
        <f t="shared" si="29"/>
        <v>-2.899999999996794E-3</v>
      </c>
      <c r="Z85" s="130">
        <f t="shared" si="30"/>
        <v>1612</v>
      </c>
      <c r="AA85" s="125">
        <f t="shared" si="31"/>
        <v>0.61420542687828228</v>
      </c>
      <c r="AB85" s="132">
        <f t="shared" ca="1" si="33"/>
        <v>500.1634575716788</v>
      </c>
      <c r="AC85" s="132">
        <f t="shared" ca="1" si="34"/>
        <v>-4.2523729197143689</v>
      </c>
      <c r="AD85" s="131">
        <f t="shared" ca="1" si="7"/>
        <v>4.2525875290099444</v>
      </c>
      <c r="AE85" s="132">
        <f t="shared" ca="1" si="32"/>
        <v>2.1460929557551211E-4</v>
      </c>
      <c r="AF85" s="132">
        <f t="shared" ca="1" si="35"/>
        <v>504.41583049139319</v>
      </c>
      <c r="AH85" s="126">
        <f t="shared" si="8"/>
        <v>46451</v>
      </c>
      <c r="AI85" s="127">
        <f t="shared" si="9"/>
        <v>679.6515819444445</v>
      </c>
    </row>
    <row r="86" spans="1:35" ht="13.8" outlineLevel="1" x14ac:dyDescent="0.3">
      <c r="A86" s="24">
        <f t="shared" si="44"/>
        <v>54</v>
      </c>
      <c r="B86" s="24">
        <f t="shared" si="39"/>
        <v>1</v>
      </c>
      <c r="C86" s="128">
        <f t="shared" si="45"/>
        <v>46482</v>
      </c>
      <c r="D86" s="129" t="str">
        <f t="shared" si="40"/>
        <v/>
      </c>
      <c r="E86" s="130">
        <f t="shared" si="36"/>
        <v>54</v>
      </c>
      <c r="F86" s="130">
        <f t="shared" si="46"/>
        <v>54</v>
      </c>
      <c r="G86" s="131">
        <f t="shared" si="47"/>
        <v>360</v>
      </c>
      <c r="H86" s="132">
        <f t="shared" si="48"/>
        <v>11.5</v>
      </c>
      <c r="I86" s="130">
        <f t="shared" si="49"/>
        <v>31</v>
      </c>
      <c r="J86" s="133">
        <f t="shared" si="50"/>
        <v>11456.25</v>
      </c>
      <c r="K86" s="124">
        <f t="shared" si="59"/>
        <v>548.57847222222233</v>
      </c>
      <c r="L86" s="132">
        <f t="shared" si="60"/>
        <v>107.89</v>
      </c>
      <c r="M86" s="132">
        <f t="shared" si="51"/>
        <v>4.3031097222222217</v>
      </c>
      <c r="N86" s="132">
        <f t="shared" si="52"/>
        <v>112.19310972222222</v>
      </c>
      <c r="O86" s="132">
        <f t="shared" si="53"/>
        <v>660.77158194444451</v>
      </c>
      <c r="P86" s="132">
        <f t="shared" si="54"/>
        <v>10</v>
      </c>
      <c r="Q86" s="132">
        <f t="shared" si="55"/>
        <v>8.8800000000000008</v>
      </c>
      <c r="R86" s="132"/>
      <c r="S86" s="125">
        <f t="shared" si="56"/>
        <v>0</v>
      </c>
      <c r="T86" s="132">
        <f t="shared" si="41"/>
        <v>8.8800000000000008</v>
      </c>
      <c r="U86" s="125">
        <f t="shared" si="27"/>
        <v>679.6515819444445</v>
      </c>
      <c r="V86" s="133">
        <f t="shared" si="42"/>
        <v>10907.67</v>
      </c>
      <c r="W86" s="133">
        <f t="shared" si="43"/>
        <v>0</v>
      </c>
      <c r="X86" s="278">
        <f t="shared" si="28"/>
        <v>107.8909</v>
      </c>
      <c r="Y86" s="278">
        <f t="shared" si="29"/>
        <v>-9.0000000000145519E-4</v>
      </c>
      <c r="Z86" s="130">
        <f t="shared" si="30"/>
        <v>1643</v>
      </c>
      <c r="AA86" s="125">
        <f t="shared" si="31"/>
        <v>0.60847502613280624</v>
      </c>
      <c r="AB86" s="132">
        <f t="shared" ca="1" si="33"/>
        <v>504.41583049139319</v>
      </c>
      <c r="AC86" s="132">
        <f t="shared" ca="1" si="34"/>
        <v>-4.7501937508446597</v>
      </c>
      <c r="AD86" s="131">
        <f t="shared" ca="1" si="7"/>
        <v>4.7504083601402352</v>
      </c>
      <c r="AE86" s="132">
        <f t="shared" ca="1" si="32"/>
        <v>2.1460929557551211E-4</v>
      </c>
      <c r="AF86" s="132">
        <f t="shared" ca="1" si="35"/>
        <v>509.16602424223788</v>
      </c>
      <c r="AH86" s="126">
        <f t="shared" si="8"/>
        <v>46482</v>
      </c>
      <c r="AI86" s="127">
        <f t="shared" si="9"/>
        <v>679.6515819444445</v>
      </c>
    </row>
    <row r="87" spans="1:35" ht="13.8" outlineLevel="1" x14ac:dyDescent="0.3">
      <c r="A87" s="24">
        <f t="shared" si="44"/>
        <v>55</v>
      </c>
      <c r="B87" s="24">
        <f t="shared" si="39"/>
        <v>1</v>
      </c>
      <c r="C87" s="128">
        <f t="shared" si="45"/>
        <v>46512</v>
      </c>
      <c r="D87" s="129" t="str">
        <f t="shared" si="40"/>
        <v/>
      </c>
      <c r="E87" s="130">
        <f t="shared" si="36"/>
        <v>55</v>
      </c>
      <c r="F87" s="130">
        <f t="shared" si="46"/>
        <v>55</v>
      </c>
      <c r="G87" s="131">
        <f t="shared" si="47"/>
        <v>360</v>
      </c>
      <c r="H87" s="132">
        <f t="shared" si="48"/>
        <v>11.5</v>
      </c>
      <c r="I87" s="130">
        <f t="shared" si="49"/>
        <v>30</v>
      </c>
      <c r="J87" s="133">
        <f t="shared" si="50"/>
        <v>10907.67</v>
      </c>
      <c r="K87" s="124">
        <f t="shared" si="59"/>
        <v>557.76847222222239</v>
      </c>
      <c r="L87" s="132">
        <f t="shared" si="60"/>
        <v>99.4</v>
      </c>
      <c r="M87" s="132">
        <f t="shared" si="51"/>
        <v>4.3031097222222217</v>
      </c>
      <c r="N87" s="132">
        <f t="shared" si="52"/>
        <v>103.70310972222222</v>
      </c>
      <c r="O87" s="132">
        <f t="shared" si="53"/>
        <v>661.47158194444455</v>
      </c>
      <c r="P87" s="132">
        <f t="shared" si="54"/>
        <v>10</v>
      </c>
      <c r="Q87" s="132">
        <f t="shared" si="55"/>
        <v>8.18</v>
      </c>
      <c r="R87" s="132"/>
      <c r="S87" s="125">
        <f t="shared" si="56"/>
        <v>0</v>
      </c>
      <c r="T87" s="132">
        <f t="shared" si="41"/>
        <v>8.18</v>
      </c>
      <c r="U87" s="125">
        <f t="shared" si="27"/>
        <v>679.6515819444445</v>
      </c>
      <c r="V87" s="133">
        <f t="shared" si="42"/>
        <v>10349.9</v>
      </c>
      <c r="W87" s="133">
        <f t="shared" si="43"/>
        <v>0</v>
      </c>
      <c r="X87" s="278">
        <f t="shared" si="28"/>
        <v>99.395799999999994</v>
      </c>
      <c r="Y87" s="278">
        <f t="shared" si="29"/>
        <v>4.2000000000115278E-3</v>
      </c>
      <c r="Z87" s="130">
        <f t="shared" si="30"/>
        <v>1673</v>
      </c>
      <c r="AA87" s="125">
        <f t="shared" si="31"/>
        <v>0.60298038639372087</v>
      </c>
      <c r="AB87" s="132">
        <f t="shared" ca="1" si="33"/>
        <v>509.16602424223788</v>
      </c>
      <c r="AC87" s="132">
        <f t="shared" ca="1" si="34"/>
        <v>-4.6395447157560241</v>
      </c>
      <c r="AD87" s="131">
        <f t="shared" ca="1" si="7"/>
        <v>4.6397593250515996</v>
      </c>
      <c r="AE87" s="132">
        <f t="shared" ca="1" si="32"/>
        <v>2.1460929557551211E-4</v>
      </c>
      <c r="AF87" s="132">
        <f t="shared" ca="1" si="35"/>
        <v>513.80556895799396</v>
      </c>
      <c r="AH87" s="126">
        <f t="shared" si="8"/>
        <v>46512</v>
      </c>
      <c r="AI87" s="127">
        <f t="shared" si="9"/>
        <v>679.6515819444445</v>
      </c>
    </row>
    <row r="88" spans="1:35" ht="13.8" outlineLevel="1" x14ac:dyDescent="0.3">
      <c r="A88" s="24">
        <f t="shared" si="44"/>
        <v>56</v>
      </c>
      <c r="B88" s="24">
        <f t="shared" si="39"/>
        <v>1</v>
      </c>
      <c r="C88" s="128">
        <f t="shared" si="45"/>
        <v>46543</v>
      </c>
      <c r="D88" s="129" t="str">
        <f t="shared" si="40"/>
        <v/>
      </c>
      <c r="E88" s="130">
        <f t="shared" si="36"/>
        <v>56</v>
      </c>
      <c r="F88" s="130">
        <f t="shared" si="46"/>
        <v>56</v>
      </c>
      <c r="G88" s="131">
        <f t="shared" si="47"/>
        <v>360</v>
      </c>
      <c r="H88" s="132">
        <f t="shared" si="48"/>
        <v>11.5</v>
      </c>
      <c r="I88" s="130">
        <f t="shared" si="49"/>
        <v>31</v>
      </c>
      <c r="J88" s="133">
        <f t="shared" si="50"/>
        <v>10349.9</v>
      </c>
      <c r="K88" s="124">
        <f t="shared" si="59"/>
        <v>559.8584722222223</v>
      </c>
      <c r="L88" s="132">
        <f t="shared" si="60"/>
        <v>97.47</v>
      </c>
      <c r="M88" s="132">
        <f t="shared" si="51"/>
        <v>4.3031097222222217</v>
      </c>
      <c r="N88" s="132">
        <f t="shared" si="52"/>
        <v>101.77310972222222</v>
      </c>
      <c r="O88" s="132">
        <f t="shared" si="53"/>
        <v>661.63158194444452</v>
      </c>
      <c r="P88" s="132">
        <f t="shared" si="54"/>
        <v>10</v>
      </c>
      <c r="Q88" s="132">
        <f t="shared" si="55"/>
        <v>8.02</v>
      </c>
      <c r="R88" s="132"/>
      <c r="S88" s="125">
        <f t="shared" si="56"/>
        <v>0</v>
      </c>
      <c r="T88" s="132">
        <f t="shared" si="41"/>
        <v>8.02</v>
      </c>
      <c r="U88" s="125">
        <f t="shared" si="27"/>
        <v>679.6515819444445</v>
      </c>
      <c r="V88" s="133">
        <f t="shared" si="42"/>
        <v>9790.0400000000009</v>
      </c>
      <c r="W88" s="133">
        <f t="shared" si="43"/>
        <v>0</v>
      </c>
      <c r="X88" s="278">
        <f t="shared" si="28"/>
        <v>97.471699999999998</v>
      </c>
      <c r="Y88" s="278">
        <f t="shared" si="29"/>
        <v>-1.6999999999995907E-3</v>
      </c>
      <c r="Z88" s="130">
        <f t="shared" si="30"/>
        <v>1704</v>
      </c>
      <c r="AA88" s="125">
        <f t="shared" si="31"/>
        <v>0.59735471279252894</v>
      </c>
      <c r="AB88" s="132">
        <f t="shared" ca="1" si="33"/>
        <v>513.80556895799396</v>
      </c>
      <c r="AC88" s="132">
        <f t="shared" ca="1" si="34"/>
        <v>-4.8386229582861011</v>
      </c>
      <c r="AD88" s="131">
        <f t="shared" ca="1" si="7"/>
        <v>4.8388375675816766</v>
      </c>
      <c r="AE88" s="132">
        <f t="shared" ca="1" si="32"/>
        <v>2.1460929557551211E-4</v>
      </c>
      <c r="AF88" s="132">
        <f t="shared" ca="1" si="35"/>
        <v>518.64419191628008</v>
      </c>
      <c r="AH88" s="126">
        <f t="shared" si="8"/>
        <v>46543</v>
      </c>
      <c r="AI88" s="127">
        <f t="shared" si="9"/>
        <v>679.6515819444445</v>
      </c>
    </row>
    <row r="89" spans="1:35" ht="13.8" outlineLevel="1" x14ac:dyDescent="0.3">
      <c r="A89" s="24">
        <f t="shared" si="44"/>
        <v>57</v>
      </c>
      <c r="B89" s="24">
        <f t="shared" si="39"/>
        <v>1</v>
      </c>
      <c r="C89" s="128">
        <f t="shared" si="45"/>
        <v>46573</v>
      </c>
      <c r="D89" s="129" t="str">
        <f t="shared" si="40"/>
        <v/>
      </c>
      <c r="E89" s="130">
        <f t="shared" si="36"/>
        <v>57</v>
      </c>
      <c r="F89" s="130">
        <f t="shared" si="46"/>
        <v>57</v>
      </c>
      <c r="G89" s="131">
        <f t="shared" si="47"/>
        <v>360</v>
      </c>
      <c r="H89" s="132">
        <f t="shared" si="48"/>
        <v>11.5</v>
      </c>
      <c r="I89" s="130">
        <f t="shared" si="49"/>
        <v>30</v>
      </c>
      <c r="J89" s="133">
        <f t="shared" si="50"/>
        <v>9790.0400000000009</v>
      </c>
      <c r="K89" s="124">
        <f t="shared" si="59"/>
        <v>568.79847222222224</v>
      </c>
      <c r="L89" s="132">
        <f t="shared" si="60"/>
        <v>89.21</v>
      </c>
      <c r="M89" s="132">
        <f t="shared" si="51"/>
        <v>4.3031097222222217</v>
      </c>
      <c r="N89" s="132">
        <f t="shared" si="52"/>
        <v>93.513109722222211</v>
      </c>
      <c r="O89" s="132">
        <f t="shared" si="53"/>
        <v>662.31158194444447</v>
      </c>
      <c r="P89" s="132">
        <f t="shared" si="54"/>
        <v>10</v>
      </c>
      <c r="Q89" s="132">
        <f t="shared" si="55"/>
        <v>7.34</v>
      </c>
      <c r="R89" s="132"/>
      <c r="S89" s="125">
        <f t="shared" si="56"/>
        <v>0</v>
      </c>
      <c r="T89" s="132">
        <f t="shared" si="41"/>
        <v>7.34</v>
      </c>
      <c r="U89" s="125">
        <f t="shared" si="27"/>
        <v>679.6515819444445</v>
      </c>
      <c r="V89" s="133">
        <f t="shared" si="42"/>
        <v>9221.24</v>
      </c>
      <c r="W89" s="133">
        <f t="shared" si="43"/>
        <v>0</v>
      </c>
      <c r="X89" s="278">
        <f t="shared" si="28"/>
        <v>89.211399999999998</v>
      </c>
      <c r="Y89" s="278">
        <f t="shared" si="29"/>
        <v>-1.4000000000038426E-3</v>
      </c>
      <c r="Z89" s="130">
        <f t="shared" si="30"/>
        <v>1734</v>
      </c>
      <c r="AA89" s="125">
        <f t="shared" si="31"/>
        <v>0.59196049149786023</v>
      </c>
      <c r="AB89" s="132">
        <f t="shared" ca="1" si="33"/>
        <v>518.64419191628008</v>
      </c>
      <c r="AC89" s="132">
        <f t="shared" ca="1" si="34"/>
        <v>-4.7259142195254231</v>
      </c>
      <c r="AD89" s="131">
        <f t="shared" ca="1" si="7"/>
        <v>4.7261288288209986</v>
      </c>
      <c r="AE89" s="132">
        <f t="shared" ca="1" si="32"/>
        <v>2.1460929557551211E-4</v>
      </c>
      <c r="AF89" s="132">
        <f t="shared" ca="1" si="35"/>
        <v>523.37010613580549</v>
      </c>
      <c r="AH89" s="126">
        <f t="shared" si="8"/>
        <v>46573</v>
      </c>
      <c r="AI89" s="127">
        <f t="shared" si="9"/>
        <v>679.6515819444445</v>
      </c>
    </row>
    <row r="90" spans="1:35" ht="13.8" outlineLevel="1" x14ac:dyDescent="0.3">
      <c r="A90" s="24">
        <f t="shared" si="44"/>
        <v>58</v>
      </c>
      <c r="B90" s="24">
        <f t="shared" si="39"/>
        <v>1</v>
      </c>
      <c r="C90" s="128">
        <f t="shared" si="45"/>
        <v>46604</v>
      </c>
      <c r="D90" s="129" t="str">
        <f t="shared" si="40"/>
        <v/>
      </c>
      <c r="E90" s="130">
        <f t="shared" si="36"/>
        <v>58</v>
      </c>
      <c r="F90" s="130">
        <f t="shared" si="46"/>
        <v>58</v>
      </c>
      <c r="G90" s="131">
        <f t="shared" si="47"/>
        <v>360</v>
      </c>
      <c r="H90" s="132">
        <f t="shared" si="48"/>
        <v>11.5</v>
      </c>
      <c r="I90" s="130">
        <f t="shared" si="49"/>
        <v>31</v>
      </c>
      <c r="J90" s="133">
        <f t="shared" si="50"/>
        <v>9221.24</v>
      </c>
      <c r="K90" s="124">
        <f t="shared" si="59"/>
        <v>571.3584722222223</v>
      </c>
      <c r="L90" s="132">
        <f t="shared" si="60"/>
        <v>86.84</v>
      </c>
      <c r="M90" s="132">
        <f t="shared" si="51"/>
        <v>4.3031097222222217</v>
      </c>
      <c r="N90" s="132">
        <f t="shared" si="52"/>
        <v>91.143109722222221</v>
      </c>
      <c r="O90" s="132">
        <f t="shared" si="53"/>
        <v>662.50158194444452</v>
      </c>
      <c r="P90" s="132">
        <f t="shared" si="54"/>
        <v>10</v>
      </c>
      <c r="Q90" s="132">
        <f t="shared" si="55"/>
        <v>7.15</v>
      </c>
      <c r="R90" s="132"/>
      <c r="S90" s="125">
        <f t="shared" si="56"/>
        <v>0</v>
      </c>
      <c r="T90" s="132">
        <f t="shared" si="41"/>
        <v>7.15</v>
      </c>
      <c r="U90" s="125">
        <f t="shared" si="27"/>
        <v>679.6515819444445</v>
      </c>
      <c r="V90" s="133">
        <f t="shared" si="42"/>
        <v>8649.8799999999992</v>
      </c>
      <c r="W90" s="133">
        <f t="shared" si="43"/>
        <v>0</v>
      </c>
      <c r="X90" s="278">
        <f t="shared" si="28"/>
        <v>86.842299999999994</v>
      </c>
      <c r="Y90" s="278">
        <f t="shared" si="29"/>
        <v>-2.299999999991087E-3</v>
      </c>
      <c r="Z90" s="130">
        <f t="shared" si="30"/>
        <v>1765</v>
      </c>
      <c r="AA90" s="125">
        <f t="shared" si="31"/>
        <v>0.58643763107799618</v>
      </c>
      <c r="AB90" s="132">
        <f t="shared" ca="1" si="33"/>
        <v>523.37010613580549</v>
      </c>
      <c r="AC90" s="132">
        <f t="shared" ca="1" si="34"/>
        <v>-4.9286983576368426</v>
      </c>
      <c r="AD90" s="131">
        <f t="shared" ca="1" si="7"/>
        <v>4.9289129669324181</v>
      </c>
      <c r="AE90" s="132">
        <f t="shared" ca="1" si="32"/>
        <v>2.1460929557551211E-4</v>
      </c>
      <c r="AF90" s="132">
        <f t="shared" ca="1" si="35"/>
        <v>528.29880449344228</v>
      </c>
      <c r="AH90" s="126">
        <f t="shared" si="8"/>
        <v>46604</v>
      </c>
      <c r="AI90" s="127">
        <f t="shared" si="9"/>
        <v>679.6515819444445</v>
      </c>
    </row>
    <row r="91" spans="1:35" ht="13.8" outlineLevel="1" x14ac:dyDescent="0.3">
      <c r="A91" s="24">
        <f t="shared" si="44"/>
        <v>59</v>
      </c>
      <c r="B91" s="24">
        <f t="shared" si="39"/>
        <v>1</v>
      </c>
      <c r="C91" s="128">
        <f t="shared" si="45"/>
        <v>46635</v>
      </c>
      <c r="D91" s="129" t="str">
        <f t="shared" si="40"/>
        <v/>
      </c>
      <c r="E91" s="130">
        <f t="shared" si="36"/>
        <v>59</v>
      </c>
      <c r="F91" s="130">
        <f t="shared" si="46"/>
        <v>59</v>
      </c>
      <c r="G91" s="131">
        <f t="shared" si="47"/>
        <v>360</v>
      </c>
      <c r="H91" s="132">
        <f t="shared" si="48"/>
        <v>11.5</v>
      </c>
      <c r="I91" s="130">
        <f t="shared" si="49"/>
        <v>31</v>
      </c>
      <c r="J91" s="133">
        <f t="shared" si="50"/>
        <v>8649.8799999999992</v>
      </c>
      <c r="K91" s="124">
        <f t="shared" si="59"/>
        <v>577.18847222222223</v>
      </c>
      <c r="L91" s="132">
        <f t="shared" si="60"/>
        <v>81.459999999999994</v>
      </c>
      <c r="M91" s="132">
        <f t="shared" si="51"/>
        <v>4.3031097222222217</v>
      </c>
      <c r="N91" s="132">
        <f t="shared" si="52"/>
        <v>85.763109722222211</v>
      </c>
      <c r="O91" s="132">
        <f t="shared" si="53"/>
        <v>662.95158194444446</v>
      </c>
      <c r="P91" s="132">
        <f t="shared" si="54"/>
        <v>10</v>
      </c>
      <c r="Q91" s="132">
        <f t="shared" si="55"/>
        <v>6.7</v>
      </c>
      <c r="R91" s="132"/>
      <c r="S91" s="125">
        <f t="shared" si="56"/>
        <v>0</v>
      </c>
      <c r="T91" s="132">
        <f t="shared" si="41"/>
        <v>6.7</v>
      </c>
      <c r="U91" s="125">
        <f t="shared" si="27"/>
        <v>679.6515819444445</v>
      </c>
      <c r="V91" s="133">
        <f t="shared" si="42"/>
        <v>8072.69</v>
      </c>
      <c r="W91" s="133">
        <f t="shared" si="43"/>
        <v>0</v>
      </c>
      <c r="X91" s="278">
        <f t="shared" si="28"/>
        <v>81.461500000000001</v>
      </c>
      <c r="Y91" s="278">
        <f t="shared" si="29"/>
        <v>-1.5000000000071623E-3</v>
      </c>
      <c r="Z91" s="130">
        <f t="shared" si="30"/>
        <v>1796</v>
      </c>
      <c r="AA91" s="125">
        <f t="shared" si="31"/>
        <v>0.58096629772396746</v>
      </c>
      <c r="AB91" s="132">
        <f t="shared" ca="1" si="33"/>
        <v>528.29880449344228</v>
      </c>
      <c r="AC91" s="132">
        <f t="shared" ca="1" si="34"/>
        <v>-4.9751150806407942</v>
      </c>
      <c r="AD91" s="131">
        <f t="shared" ca="1" si="7"/>
        <v>4.9753296899363697</v>
      </c>
      <c r="AE91" s="132">
        <f t="shared" ca="1" si="32"/>
        <v>2.1460929557551211E-4</v>
      </c>
      <c r="AF91" s="132">
        <f t="shared" ca="1" si="35"/>
        <v>533.27391957408304</v>
      </c>
      <c r="AH91" s="126">
        <f t="shared" si="8"/>
        <v>46635</v>
      </c>
      <c r="AI91" s="127">
        <f t="shared" si="9"/>
        <v>679.6515819444445</v>
      </c>
    </row>
    <row r="92" spans="1:35" ht="13.8" outlineLevel="1" x14ac:dyDescent="0.3">
      <c r="A92" s="24">
        <f t="shared" si="44"/>
        <v>60</v>
      </c>
      <c r="B92" s="24">
        <f t="shared" si="39"/>
        <v>1</v>
      </c>
      <c r="C92" s="285">
        <f>IF(B92="","",IF(OR(MONTH(EDATE($Q$6,E92))=$H$16,MONTH(EDATE($Q$6,E92))=$H$17),IF(ABS($H$17-$H$16)=1,EDATE($Q$6,E92+2),EDATE($Q$6,E92+1)),EDATE($Q$6,E92)))</f>
        <v>46665</v>
      </c>
      <c r="D92" s="129" t="str">
        <f t="shared" si="40"/>
        <v/>
      </c>
      <c r="E92" s="130">
        <f t="shared" si="36"/>
        <v>60</v>
      </c>
      <c r="F92" s="130">
        <f t="shared" si="46"/>
        <v>60</v>
      </c>
      <c r="G92" s="131">
        <f t="shared" si="47"/>
        <v>360</v>
      </c>
      <c r="H92" s="132">
        <f t="shared" si="48"/>
        <v>11.5</v>
      </c>
      <c r="I92" s="130">
        <f t="shared" si="49"/>
        <v>30</v>
      </c>
      <c r="J92" s="133">
        <f t="shared" si="50"/>
        <v>8072.69</v>
      </c>
      <c r="K92" s="124">
        <f t="shared" si="59"/>
        <v>585.7384722222223</v>
      </c>
      <c r="L92" s="132">
        <f t="shared" si="60"/>
        <v>73.56</v>
      </c>
      <c r="M92" s="132">
        <f t="shared" si="51"/>
        <v>4.3031097222222217</v>
      </c>
      <c r="N92" s="132">
        <f t="shared" si="52"/>
        <v>77.863109722222219</v>
      </c>
      <c r="O92" s="132">
        <f t="shared" si="53"/>
        <v>663.60158194444443</v>
      </c>
      <c r="P92" s="132">
        <f t="shared" si="54"/>
        <v>10</v>
      </c>
      <c r="Q92" s="132">
        <f t="shared" si="55"/>
        <v>6.05</v>
      </c>
      <c r="R92" s="132"/>
      <c r="S92" s="125">
        <f t="shared" si="56"/>
        <v>0</v>
      </c>
      <c r="T92" s="132">
        <f t="shared" si="41"/>
        <v>6.05</v>
      </c>
      <c r="U92" s="125">
        <f t="shared" si="27"/>
        <v>679.65158194444439</v>
      </c>
      <c r="V92" s="133">
        <f t="shared" si="42"/>
        <v>7486.95</v>
      </c>
      <c r="W92" s="133">
        <f t="shared" si="43"/>
        <v>0</v>
      </c>
      <c r="X92" s="278">
        <f t="shared" si="28"/>
        <v>73.562100000000001</v>
      </c>
      <c r="Y92" s="278">
        <f t="shared" si="29"/>
        <v>-2.0999999999986585E-3</v>
      </c>
      <c r="Z92" s="130">
        <f t="shared" si="30"/>
        <v>1826</v>
      </c>
      <c r="AA92" s="125">
        <f t="shared" si="31"/>
        <v>0.57572006678687948</v>
      </c>
      <c r="AB92" s="132">
        <f t="shared" ca="1" si="33"/>
        <v>533.27391957408304</v>
      </c>
      <c r="AC92" s="132">
        <f t="shared" ca="1" si="34"/>
        <v>-4.859227151047663</v>
      </c>
      <c r="AD92" s="131">
        <f t="shared" ca="1" si="7"/>
        <v>4.8594417603432385</v>
      </c>
      <c r="AE92" s="132">
        <f t="shared" ca="1" si="32"/>
        <v>2.1460929557551211E-4</v>
      </c>
      <c r="AF92" s="132">
        <f t="shared" ca="1" si="35"/>
        <v>538.1331467251307</v>
      </c>
      <c r="AH92" s="126">
        <f t="shared" si="8"/>
        <v>46665</v>
      </c>
      <c r="AI92" s="127">
        <f t="shared" si="9"/>
        <v>679.65158194444439</v>
      </c>
    </row>
    <row r="93" spans="1:35" ht="13.8" outlineLevel="1" x14ac:dyDescent="0.3">
      <c r="A93" s="24">
        <f t="shared" si="44"/>
        <v>61</v>
      </c>
      <c r="B93" s="24">
        <f t="shared" si="39"/>
        <v>1</v>
      </c>
      <c r="C93" s="128">
        <f t="shared" si="45"/>
        <v>46696</v>
      </c>
      <c r="D93" s="129" t="str">
        <f t="shared" si="40"/>
        <v/>
      </c>
      <c r="E93" s="130">
        <f t="shared" si="36"/>
        <v>61</v>
      </c>
      <c r="F93" s="130">
        <f t="shared" si="46"/>
        <v>61</v>
      </c>
      <c r="G93" s="131">
        <f t="shared" si="47"/>
        <v>360</v>
      </c>
      <c r="H93" s="132">
        <f t="shared" si="48"/>
        <v>11.5</v>
      </c>
      <c r="I93" s="130">
        <f t="shared" si="49"/>
        <v>31</v>
      </c>
      <c r="J93" s="133">
        <f t="shared" si="50"/>
        <v>7486.95</v>
      </c>
      <c r="K93" s="124">
        <f t="shared" si="59"/>
        <v>589.03847222222237</v>
      </c>
      <c r="L93" s="132">
        <f t="shared" si="60"/>
        <v>70.510000000000005</v>
      </c>
      <c r="M93" s="132">
        <f t="shared" si="51"/>
        <v>4.3031097222222217</v>
      </c>
      <c r="N93" s="132">
        <f t="shared" si="52"/>
        <v>74.813109722222222</v>
      </c>
      <c r="O93" s="132">
        <f t="shared" si="53"/>
        <v>663.85158194444455</v>
      </c>
      <c r="P93" s="132">
        <f t="shared" si="54"/>
        <v>10</v>
      </c>
      <c r="Q93" s="132">
        <f t="shared" si="55"/>
        <v>5.8</v>
      </c>
      <c r="R93" s="132"/>
      <c r="S93" s="125">
        <f t="shared" si="56"/>
        <v>0</v>
      </c>
      <c r="T93" s="132">
        <f t="shared" si="41"/>
        <v>5.8</v>
      </c>
      <c r="U93" s="125">
        <f t="shared" si="27"/>
        <v>679.6515819444445</v>
      </c>
      <c r="V93" s="133">
        <f t="shared" si="42"/>
        <v>6897.91</v>
      </c>
      <c r="W93" s="133">
        <f t="shared" si="43"/>
        <v>0</v>
      </c>
      <c r="X93" s="278">
        <f t="shared" si="28"/>
        <v>70.509399999999999</v>
      </c>
      <c r="Y93" s="278">
        <f t="shared" si="29"/>
        <v>6.0000000000570708E-4</v>
      </c>
      <c r="Z93" s="130">
        <f t="shared" si="30"/>
        <v>1857</v>
      </c>
      <c r="AA93" s="125">
        <f t="shared" si="31"/>
        <v>0.57034872593652441</v>
      </c>
      <c r="AB93" s="132">
        <f t="shared" ca="1" si="33"/>
        <v>538.1331467251307</v>
      </c>
      <c r="AC93" s="132">
        <f t="shared" ca="1" si="34"/>
        <v>-5.0677314077461144</v>
      </c>
      <c r="AD93" s="131">
        <f t="shared" ca="1" si="7"/>
        <v>5.0679460170416899</v>
      </c>
      <c r="AE93" s="132">
        <f t="shared" ca="1" si="32"/>
        <v>2.1460929557551211E-4</v>
      </c>
      <c r="AF93" s="132">
        <f t="shared" ca="1" si="35"/>
        <v>543.20087813287682</v>
      </c>
      <c r="AH93" s="126">
        <f t="shared" si="8"/>
        <v>46696</v>
      </c>
      <c r="AI93" s="127">
        <f t="shared" si="9"/>
        <v>679.6515819444445</v>
      </c>
    </row>
    <row r="94" spans="1:35" ht="13.8" outlineLevel="1" x14ac:dyDescent="0.3">
      <c r="A94" s="24">
        <f t="shared" si="44"/>
        <v>62</v>
      </c>
      <c r="B94" s="24">
        <f t="shared" si="39"/>
        <v>1</v>
      </c>
      <c r="C94" s="128">
        <f t="shared" si="45"/>
        <v>46726</v>
      </c>
      <c r="D94" s="129" t="str">
        <f t="shared" si="40"/>
        <v/>
      </c>
      <c r="E94" s="130">
        <f t="shared" si="36"/>
        <v>62</v>
      </c>
      <c r="F94" s="130">
        <f t="shared" si="46"/>
        <v>62</v>
      </c>
      <c r="G94" s="131">
        <f t="shared" si="47"/>
        <v>360</v>
      </c>
      <c r="H94" s="132">
        <f t="shared" si="48"/>
        <v>11.5</v>
      </c>
      <c r="I94" s="130">
        <f t="shared" si="49"/>
        <v>30</v>
      </c>
      <c r="J94" s="133">
        <f t="shared" si="50"/>
        <v>6897.91</v>
      </c>
      <c r="K94" s="124">
        <f t="shared" si="59"/>
        <v>597.31847222222234</v>
      </c>
      <c r="L94" s="132">
        <f t="shared" si="60"/>
        <v>62.86</v>
      </c>
      <c r="M94" s="132">
        <f t="shared" si="51"/>
        <v>4.3031097222222217</v>
      </c>
      <c r="N94" s="132">
        <f t="shared" si="52"/>
        <v>67.163109722222217</v>
      </c>
      <c r="O94" s="132">
        <f t="shared" si="53"/>
        <v>664.48158194444454</v>
      </c>
      <c r="P94" s="132">
        <f t="shared" si="54"/>
        <v>10</v>
      </c>
      <c r="Q94" s="132">
        <f t="shared" si="55"/>
        <v>5.17</v>
      </c>
      <c r="R94" s="132"/>
      <c r="S94" s="125">
        <f t="shared" si="56"/>
        <v>0</v>
      </c>
      <c r="T94" s="132">
        <f t="shared" si="41"/>
        <v>5.17</v>
      </c>
      <c r="U94" s="125">
        <f t="shared" si="27"/>
        <v>679.6515819444445</v>
      </c>
      <c r="V94" s="133">
        <f t="shared" si="42"/>
        <v>6300.59</v>
      </c>
      <c r="W94" s="133">
        <f t="shared" si="43"/>
        <v>0</v>
      </c>
      <c r="X94" s="278">
        <f t="shared" si="28"/>
        <v>62.856999999999999</v>
      </c>
      <c r="Y94" s="278">
        <f t="shared" si="29"/>
        <v>3.0000000000001137E-3</v>
      </c>
      <c r="Z94" s="130">
        <f t="shared" si="30"/>
        <v>1887</v>
      </c>
      <c r="AA94" s="125">
        <f t="shared" si="31"/>
        <v>0.56519837359653624</v>
      </c>
      <c r="AB94" s="132">
        <f t="shared" ca="1" si="33"/>
        <v>543.20087813287682</v>
      </c>
      <c r="AC94" s="132">
        <f t="shared" ca="1" si="34"/>
        <v>-4.9496862475891312</v>
      </c>
      <c r="AD94" s="131">
        <f t="shared" ca="1" si="7"/>
        <v>4.9499008568847067</v>
      </c>
      <c r="AE94" s="132">
        <f t="shared" ca="1" si="32"/>
        <v>2.1460929557551211E-4</v>
      </c>
      <c r="AF94" s="132">
        <f t="shared" ca="1" si="35"/>
        <v>548.15056438046599</v>
      </c>
      <c r="AH94" s="126">
        <f t="shared" si="8"/>
        <v>46726</v>
      </c>
      <c r="AI94" s="127">
        <f t="shared" si="9"/>
        <v>679.6515819444445</v>
      </c>
    </row>
    <row r="95" spans="1:35" ht="13.8" outlineLevel="1" x14ac:dyDescent="0.3">
      <c r="A95" s="24">
        <f t="shared" si="44"/>
        <v>63</v>
      </c>
      <c r="B95" s="24">
        <f t="shared" si="39"/>
        <v>1</v>
      </c>
      <c r="C95" s="128">
        <f t="shared" si="45"/>
        <v>46757</v>
      </c>
      <c r="D95" s="129" t="str">
        <f t="shared" si="40"/>
        <v/>
      </c>
      <c r="E95" s="130">
        <f t="shared" si="36"/>
        <v>63</v>
      </c>
      <c r="F95" s="130">
        <f t="shared" si="46"/>
        <v>63</v>
      </c>
      <c r="G95" s="131">
        <f t="shared" si="47"/>
        <v>360</v>
      </c>
      <c r="H95" s="132">
        <f t="shared" si="48"/>
        <v>11.5</v>
      </c>
      <c r="I95" s="130">
        <f t="shared" si="49"/>
        <v>31</v>
      </c>
      <c r="J95" s="133">
        <f t="shared" si="50"/>
        <v>6300.59</v>
      </c>
      <c r="K95" s="124">
        <f t="shared" si="59"/>
        <v>601.12847222222229</v>
      </c>
      <c r="L95" s="132">
        <f t="shared" si="60"/>
        <v>59.34</v>
      </c>
      <c r="M95" s="132">
        <f t="shared" si="51"/>
        <v>4.3031097222222217</v>
      </c>
      <c r="N95" s="132">
        <f t="shared" si="52"/>
        <v>63.643109722222228</v>
      </c>
      <c r="O95" s="132">
        <f t="shared" si="53"/>
        <v>664.77158194444451</v>
      </c>
      <c r="P95" s="132">
        <f t="shared" si="54"/>
        <v>10</v>
      </c>
      <c r="Q95" s="132">
        <f t="shared" si="55"/>
        <v>4.88</v>
      </c>
      <c r="R95" s="132"/>
      <c r="S95" s="125">
        <f t="shared" si="56"/>
        <v>0</v>
      </c>
      <c r="T95" s="132">
        <f t="shared" si="41"/>
        <v>4.88</v>
      </c>
      <c r="U95" s="125">
        <f t="shared" si="27"/>
        <v>679.6515819444445</v>
      </c>
      <c r="V95" s="133">
        <f t="shared" si="42"/>
        <v>5699.46</v>
      </c>
      <c r="W95" s="133">
        <f t="shared" si="43"/>
        <v>0</v>
      </c>
      <c r="X95" s="278">
        <f t="shared" si="28"/>
        <v>59.3367</v>
      </c>
      <c r="Y95" s="278">
        <f t="shared" si="29"/>
        <v>3.3000000000029672E-3</v>
      </c>
      <c r="Z95" s="130">
        <f t="shared" si="30"/>
        <v>1918</v>
      </c>
      <c r="AA95" s="125">
        <f t="shared" si="31"/>
        <v>0.55992519781581929</v>
      </c>
      <c r="AB95" s="132">
        <f t="shared" ca="1" si="33"/>
        <v>548.15056438046599</v>
      </c>
      <c r="AC95" s="132">
        <f t="shared" ca="1" si="34"/>
        <v>-5.1620718738860507</v>
      </c>
      <c r="AD95" s="131">
        <f t="shared" ca="1" si="7"/>
        <v>5.1622864831816262</v>
      </c>
      <c r="AE95" s="132">
        <f t="shared" ca="1" si="32"/>
        <v>2.1460929557551211E-4</v>
      </c>
      <c r="AF95" s="132">
        <f t="shared" ca="1" si="35"/>
        <v>553.31263625435201</v>
      </c>
      <c r="AH95" s="126">
        <f t="shared" si="8"/>
        <v>46757</v>
      </c>
      <c r="AI95" s="127">
        <f t="shared" si="9"/>
        <v>679.6515819444445</v>
      </c>
    </row>
    <row r="96" spans="1:35" ht="13.8" outlineLevel="1" x14ac:dyDescent="0.3">
      <c r="A96" s="24">
        <f t="shared" si="44"/>
        <v>64</v>
      </c>
      <c r="B96" s="24">
        <f t="shared" si="39"/>
        <v>1</v>
      </c>
      <c r="C96" s="128">
        <f t="shared" si="45"/>
        <v>46788</v>
      </c>
      <c r="D96" s="129" t="str">
        <f t="shared" si="40"/>
        <v/>
      </c>
      <c r="E96" s="130">
        <f t="shared" si="36"/>
        <v>64</v>
      </c>
      <c r="F96" s="130">
        <f t="shared" si="46"/>
        <v>64</v>
      </c>
      <c r="G96" s="131">
        <f t="shared" si="47"/>
        <v>360</v>
      </c>
      <c r="H96" s="132">
        <f t="shared" si="48"/>
        <v>11.5</v>
      </c>
      <c r="I96" s="130">
        <f t="shared" si="49"/>
        <v>31</v>
      </c>
      <c r="J96" s="133">
        <f t="shared" si="50"/>
        <v>5699.46</v>
      </c>
      <c r="K96" s="124">
        <f t="shared" si="59"/>
        <v>607.2484722222224</v>
      </c>
      <c r="L96" s="132">
        <f t="shared" si="60"/>
        <v>53.68</v>
      </c>
      <c r="M96" s="132">
        <f t="shared" si="51"/>
        <v>4.3031097222222217</v>
      </c>
      <c r="N96" s="132">
        <f t="shared" si="52"/>
        <v>57.983109722222224</v>
      </c>
      <c r="O96" s="132">
        <f t="shared" si="53"/>
        <v>665.23158194444454</v>
      </c>
      <c r="P96" s="132">
        <f t="shared" si="54"/>
        <v>10</v>
      </c>
      <c r="Q96" s="132">
        <f t="shared" si="55"/>
        <v>4.42</v>
      </c>
      <c r="R96" s="132"/>
      <c r="S96" s="125">
        <f t="shared" si="56"/>
        <v>0</v>
      </c>
      <c r="T96" s="132">
        <f t="shared" si="41"/>
        <v>4.42</v>
      </c>
      <c r="U96" s="125">
        <f t="shared" si="27"/>
        <v>679.6515819444445</v>
      </c>
      <c r="V96" s="133">
        <f t="shared" si="42"/>
        <v>5092.21</v>
      </c>
      <c r="W96" s="133">
        <f t="shared" si="43"/>
        <v>0</v>
      </c>
      <c r="X96" s="278">
        <f t="shared" si="28"/>
        <v>53.6755</v>
      </c>
      <c r="Y96" s="278">
        <f t="shared" si="29"/>
        <v>4.5000000000001705E-3</v>
      </c>
      <c r="Z96" s="130">
        <f t="shared" si="30"/>
        <v>1949</v>
      </c>
      <c r="AA96" s="125">
        <f t="shared" si="31"/>
        <v>0.55470121959849483</v>
      </c>
      <c r="AB96" s="132">
        <f t="shared" ca="1" si="33"/>
        <v>553.31263625435201</v>
      </c>
      <c r="AC96" s="132">
        <f t="shared" ca="1" si="34"/>
        <v>-5.2106864254187899</v>
      </c>
      <c r="AD96" s="131">
        <f t="shared" ca="1" si="7"/>
        <v>5.2109010347143654</v>
      </c>
      <c r="AE96" s="132">
        <f t="shared" ca="1" si="32"/>
        <v>2.1460929557551211E-4</v>
      </c>
      <c r="AF96" s="132">
        <f t="shared" ca="1" si="35"/>
        <v>558.52332267977079</v>
      </c>
      <c r="AH96" s="126">
        <f t="shared" si="8"/>
        <v>46788</v>
      </c>
      <c r="AI96" s="127">
        <f t="shared" si="9"/>
        <v>679.6515819444445</v>
      </c>
    </row>
    <row r="97" spans="1:35" ht="13.8" outlineLevel="1" x14ac:dyDescent="0.3">
      <c r="A97" s="24">
        <f t="shared" si="44"/>
        <v>65</v>
      </c>
      <c r="B97" s="24">
        <f t="shared" ref="B97:B104" si="61">IF(A97="","",IF(A97&lt;=$H$22,0,1))</f>
        <v>1</v>
      </c>
      <c r="C97" s="128">
        <f t="shared" si="45"/>
        <v>46817</v>
      </c>
      <c r="D97" s="129" t="str">
        <f t="shared" ref="D97:D104" si="62">IF(B97="","",IF(OR(MONTH(C97)=$H$18,MONTH(C97)=$H$19),"D",""))</f>
        <v/>
      </c>
      <c r="E97" s="130">
        <f t="shared" si="36"/>
        <v>65</v>
      </c>
      <c r="F97" s="130">
        <f t="shared" si="46"/>
        <v>65</v>
      </c>
      <c r="G97" s="131">
        <f t="shared" si="47"/>
        <v>360</v>
      </c>
      <c r="H97" s="132">
        <f t="shared" si="48"/>
        <v>11.5</v>
      </c>
      <c r="I97" s="130">
        <f t="shared" si="49"/>
        <v>29</v>
      </c>
      <c r="J97" s="133">
        <f t="shared" si="50"/>
        <v>5092.21</v>
      </c>
      <c r="K97" s="124">
        <f t="shared" si="59"/>
        <v>616.80847222222224</v>
      </c>
      <c r="L97" s="132">
        <f t="shared" si="60"/>
        <v>44.85</v>
      </c>
      <c r="M97" s="132">
        <f t="shared" si="51"/>
        <v>4.3031097222222217</v>
      </c>
      <c r="N97" s="132">
        <f t="shared" si="52"/>
        <v>49.153109722222226</v>
      </c>
      <c r="O97" s="132">
        <f t="shared" si="53"/>
        <v>665.96158194444445</v>
      </c>
      <c r="P97" s="132">
        <f t="shared" si="54"/>
        <v>10</v>
      </c>
      <c r="Q97" s="132">
        <f t="shared" si="55"/>
        <v>3.69</v>
      </c>
      <c r="R97" s="132"/>
      <c r="S97" s="125">
        <f t="shared" si="56"/>
        <v>0</v>
      </c>
      <c r="T97" s="132">
        <f t="shared" ref="T97:T104" si="63">IF(B97="","",Q97+R97+S97)</f>
        <v>3.69</v>
      </c>
      <c r="U97" s="125">
        <f t="shared" si="27"/>
        <v>679.6515819444445</v>
      </c>
      <c r="V97" s="133">
        <f t="shared" ref="V97:V104" si="64">IF(B97="","",ROUND(J97-K97,2))</f>
        <v>4475.3999999999996</v>
      </c>
      <c r="W97" s="133">
        <f t="shared" ref="W97:W104" si="65">IF(B97="","",IF(ROUND(ROUND(J97*(((1+(H97/100))^(I97/G97))-1),4),2) - $J$24&lt;0,0,ROUND(ROUND(J97*(((1+(H97/100))^(I97/G97))-1),4),2) - $J$24))</f>
        <v>0</v>
      </c>
      <c r="X97" s="278">
        <f t="shared" si="28"/>
        <v>44.8491</v>
      </c>
      <c r="Y97" s="278">
        <f t="shared" si="29"/>
        <v>9.0000000000145519E-4</v>
      </c>
      <c r="Z97" s="130">
        <f t="shared" si="30"/>
        <v>1978</v>
      </c>
      <c r="AA97" s="125">
        <f t="shared" si="31"/>
        <v>0.54985840446797918</v>
      </c>
      <c r="AB97" s="132">
        <f t="shared" ca="1" si="33"/>
        <v>558.52332267977079</v>
      </c>
      <c r="AC97" s="132">
        <f t="shared" ca="1" si="34"/>
        <v>-4.918915799262094</v>
      </c>
      <c r="AD97" s="131">
        <f t="shared" ref="AD97:AD104" ca="1" si="66">(((1+($J$8/100))^((I97)/$Q$9))-1)*AB97</f>
        <v>4.9191304085576695</v>
      </c>
      <c r="AE97" s="132">
        <f t="shared" ca="1" si="32"/>
        <v>2.1460929557551211E-4</v>
      </c>
      <c r="AF97" s="132">
        <f t="shared" ca="1" si="35"/>
        <v>563.44223847903288</v>
      </c>
      <c r="AH97" s="126">
        <f t="shared" ref="AH97:AH104" si="67">+IF(C97="",0,C97)</f>
        <v>46817</v>
      </c>
      <c r="AI97" s="127">
        <f t="shared" ref="AI97:AI104" si="68">+IF(U97="",0,U97)</f>
        <v>679.6515819444445</v>
      </c>
    </row>
    <row r="98" spans="1:35" ht="13.8" outlineLevel="1" x14ac:dyDescent="0.3">
      <c r="A98" s="24">
        <f t="shared" ref="A98:A104" si="69">+IF(A97&gt;=$H$12,"",A97+1)</f>
        <v>66</v>
      </c>
      <c r="B98" s="24">
        <f t="shared" si="61"/>
        <v>1</v>
      </c>
      <c r="C98" s="128">
        <f t="shared" ref="C98:C104" si="70">IF(B98="","",IF(OR(MONTH(EDATE($Q$6,E98))=$H$16,MONTH(EDATE($Q$6,E98))=$H$17),IF(ABS($H$17-$H$16)=1,EDATE($Q$6,E98+2),EDATE($Q$6,E98+1)),EDATE($Q$6,E98)))</f>
        <v>46848</v>
      </c>
      <c r="D98" s="129" t="str">
        <f t="shared" si="62"/>
        <v/>
      </c>
      <c r="E98" s="130">
        <f t="shared" si="36"/>
        <v>66</v>
      </c>
      <c r="F98" s="130">
        <f t="shared" ref="F98:F104" si="71">IF(B98="","",F97+1)</f>
        <v>66</v>
      </c>
      <c r="G98" s="131">
        <f t="shared" ref="G98:G104" si="72">IF(B98="","",$Q$9)</f>
        <v>360</v>
      </c>
      <c r="H98" s="132">
        <f t="shared" ref="H98:H104" si="73">IF(B98="","",$H$8)</f>
        <v>11.5</v>
      </c>
      <c r="I98" s="130">
        <f t="shared" ref="I98:I104" si="74">IF(B98="","",C98-C97)</f>
        <v>31</v>
      </c>
      <c r="J98" s="133">
        <f t="shared" ref="J98:J104" si="75">IF(B98="","",+V97)</f>
        <v>4475.3999999999996</v>
      </c>
      <c r="K98" s="124">
        <f t="shared" si="59"/>
        <v>619.72847222222231</v>
      </c>
      <c r="L98" s="132">
        <f t="shared" si="60"/>
        <v>42.15</v>
      </c>
      <c r="M98" s="132">
        <f t="shared" ref="M98:M104" si="76">IF(B98="","",IF(ISERROR(MATCH(MONTH(C98),$H$18:$H$19,0))=FALSE,$J$23,0)  + $J$23)</f>
        <v>4.3031097222222217</v>
      </c>
      <c r="N98" s="132">
        <f t="shared" ref="N98:N104" si="77">IF(B98="","",L98+M98)</f>
        <v>46.453109722222223</v>
      </c>
      <c r="O98" s="132">
        <f t="shared" ref="O98:O104" si="78">IF(B98="","",K98+L98 + M98)</f>
        <v>666.18158194444447</v>
      </c>
      <c r="P98" s="132">
        <f t="shared" ref="P98:P104" si="79">IF(B98="","",$J$26)</f>
        <v>10</v>
      </c>
      <c r="Q98" s="132">
        <f t="shared" ref="Q98:Q104" si="80">IF(B98="","",ROUND($H$9*J98/30*$I98,2)-S98)</f>
        <v>3.47</v>
      </c>
      <c r="R98" s="132"/>
      <c r="S98" s="125">
        <f t="shared" ref="S98:S104" si="81">IF(B98="","",IF(E98-E97&gt;1,ROUNDDOWN($J98*$H$9/30*(DATE(YEAR($C98),MONTH($C98)-1,DAY($C98))-C97),2),0))</f>
        <v>0</v>
      </c>
      <c r="T98" s="132">
        <f t="shared" si="63"/>
        <v>3.47</v>
      </c>
      <c r="U98" s="125">
        <f t="shared" ref="U98:U104" si="82">IF(B98="","",O98+P98+T98+ IF(D98="D",$P98))</f>
        <v>679.6515819444445</v>
      </c>
      <c r="V98" s="133">
        <f t="shared" si="64"/>
        <v>3855.67</v>
      </c>
      <c r="W98" s="133">
        <f t="shared" si="65"/>
        <v>0</v>
      </c>
      <c r="X98" s="278">
        <f t="shared" ref="X98:X104" si="83">+ROUND(J98*(((1+(H98/100))^(I98/G98))-1),4)</f>
        <v>42.1477</v>
      </c>
      <c r="Y98" s="278">
        <f t="shared" ref="Y98:Y104" si="84">+L98-X98</f>
        <v>2.2999999999981924E-3</v>
      </c>
      <c r="Z98" s="130">
        <f t="shared" ref="Z98:Z104" si="85">Z97+I98</f>
        <v>2009</v>
      </c>
      <c r="AA98" s="125">
        <f t="shared" ref="AA98:AA104" si="86">1/((1+($J$8/100))^(Z98/$Q$9))*1</f>
        <v>0.54472834720540464</v>
      </c>
      <c r="AB98" s="132">
        <f t="shared" ca="1" si="33"/>
        <v>563.44223847903288</v>
      </c>
      <c r="AC98" s="132">
        <f t="shared" ca="1" si="34"/>
        <v>-5.3060834058151851</v>
      </c>
      <c r="AD98" s="131">
        <f t="shared" ca="1" si="66"/>
        <v>5.3062980151107606</v>
      </c>
      <c r="AE98" s="132">
        <f t="shared" ref="AE98:AE104" ca="1" si="87">$K$23</f>
        <v>2.1460929557551211E-4</v>
      </c>
      <c r="AF98" s="132">
        <f t="shared" ca="1" si="35"/>
        <v>568.74832188484811</v>
      </c>
      <c r="AH98" s="126">
        <f t="shared" si="67"/>
        <v>46848</v>
      </c>
      <c r="AI98" s="127">
        <f t="shared" si="68"/>
        <v>679.6515819444445</v>
      </c>
    </row>
    <row r="99" spans="1:35" ht="13.8" x14ac:dyDescent="0.3">
      <c r="A99" s="24">
        <f t="shared" si="69"/>
        <v>67</v>
      </c>
      <c r="B99" s="24">
        <f t="shared" si="61"/>
        <v>1</v>
      </c>
      <c r="C99" s="128">
        <f t="shared" si="70"/>
        <v>46878</v>
      </c>
      <c r="D99" s="129" t="str">
        <f t="shared" si="62"/>
        <v/>
      </c>
      <c r="E99" s="130">
        <f t="shared" si="36"/>
        <v>67</v>
      </c>
      <c r="F99" s="130">
        <f t="shared" si="71"/>
        <v>67</v>
      </c>
      <c r="G99" s="131">
        <f t="shared" si="72"/>
        <v>360</v>
      </c>
      <c r="H99" s="132">
        <f t="shared" si="73"/>
        <v>11.5</v>
      </c>
      <c r="I99" s="130">
        <f t="shared" si="74"/>
        <v>30</v>
      </c>
      <c r="J99" s="133">
        <f t="shared" si="75"/>
        <v>3855.67</v>
      </c>
      <c r="K99" s="124">
        <f t="shared" si="59"/>
        <v>627.32847222222233</v>
      </c>
      <c r="L99" s="132">
        <f t="shared" si="60"/>
        <v>35.130000000000003</v>
      </c>
      <c r="M99" s="132">
        <f t="shared" si="76"/>
        <v>4.3031097222222217</v>
      </c>
      <c r="N99" s="132">
        <f t="shared" si="77"/>
        <v>39.433109722222227</v>
      </c>
      <c r="O99" s="132">
        <f t="shared" si="78"/>
        <v>666.76158194444452</v>
      </c>
      <c r="P99" s="132">
        <f t="shared" si="79"/>
        <v>10</v>
      </c>
      <c r="Q99" s="132">
        <f t="shared" si="80"/>
        <v>2.89</v>
      </c>
      <c r="R99" s="132"/>
      <c r="S99" s="125">
        <f t="shared" si="81"/>
        <v>0</v>
      </c>
      <c r="T99" s="132">
        <f t="shared" si="63"/>
        <v>2.89</v>
      </c>
      <c r="U99" s="125">
        <f t="shared" si="82"/>
        <v>679.6515819444445</v>
      </c>
      <c r="V99" s="133">
        <f t="shared" si="64"/>
        <v>3228.34</v>
      </c>
      <c r="W99" s="133">
        <f t="shared" si="65"/>
        <v>0</v>
      </c>
      <c r="X99" s="278">
        <f t="shared" si="83"/>
        <v>35.134700000000002</v>
      </c>
      <c r="Y99" s="278">
        <f t="shared" si="84"/>
        <v>-4.6999999999997044E-3</v>
      </c>
      <c r="Z99" s="130">
        <f t="shared" si="85"/>
        <v>2039</v>
      </c>
      <c r="AA99" s="125">
        <f t="shared" si="86"/>
        <v>0.53980935152766296</v>
      </c>
      <c r="AB99" s="132">
        <f t="shared" ref="AB99:AB104" ca="1" si="88">AF98</f>
        <v>568.74832188484811</v>
      </c>
      <c r="AC99" s="132">
        <f t="shared" ref="AC99:AC104" ca="1" si="89">AE99-AD99</f>
        <v>-5.1824865224225656</v>
      </c>
      <c r="AD99" s="131">
        <f t="shared" ca="1" si="66"/>
        <v>5.1827011317181411</v>
      </c>
      <c r="AE99" s="132">
        <f t="shared" ca="1" si="87"/>
        <v>2.1460929557551211E-4</v>
      </c>
      <c r="AF99" s="132">
        <f t="shared" ref="AF99:AF104" ca="1" si="90">AB99-AC99</f>
        <v>573.93080840727066</v>
      </c>
      <c r="AH99" s="126">
        <f t="shared" si="67"/>
        <v>46878</v>
      </c>
      <c r="AI99" s="127">
        <f t="shared" si="68"/>
        <v>679.6515819444445</v>
      </c>
    </row>
    <row r="100" spans="1:35" ht="13.8" x14ac:dyDescent="0.3">
      <c r="A100" s="24">
        <f t="shared" si="69"/>
        <v>68</v>
      </c>
      <c r="B100" s="24">
        <f t="shared" si="61"/>
        <v>1</v>
      </c>
      <c r="C100" s="128">
        <f t="shared" si="70"/>
        <v>46909</v>
      </c>
      <c r="D100" s="129" t="str">
        <f t="shared" si="62"/>
        <v/>
      </c>
      <c r="E100" s="130">
        <f t="shared" si="36"/>
        <v>68</v>
      </c>
      <c r="F100" s="130">
        <f t="shared" si="71"/>
        <v>68</v>
      </c>
      <c r="G100" s="131">
        <f t="shared" si="72"/>
        <v>360</v>
      </c>
      <c r="H100" s="132">
        <f t="shared" si="73"/>
        <v>11.5</v>
      </c>
      <c r="I100" s="130">
        <f t="shared" si="74"/>
        <v>31</v>
      </c>
      <c r="J100" s="133">
        <f t="shared" si="75"/>
        <v>3228.34</v>
      </c>
      <c r="K100" s="124">
        <f t="shared" si="59"/>
        <v>632.44847222222234</v>
      </c>
      <c r="L100" s="132">
        <f t="shared" si="60"/>
        <v>30.4</v>
      </c>
      <c r="M100" s="132">
        <f t="shared" si="76"/>
        <v>4.3031097222222217</v>
      </c>
      <c r="N100" s="132">
        <f t="shared" si="77"/>
        <v>34.703109722222223</v>
      </c>
      <c r="O100" s="132">
        <f t="shared" si="78"/>
        <v>667.1515819444445</v>
      </c>
      <c r="P100" s="132">
        <f t="shared" si="79"/>
        <v>10</v>
      </c>
      <c r="Q100" s="132">
        <f t="shared" si="80"/>
        <v>2.5</v>
      </c>
      <c r="R100" s="132"/>
      <c r="S100" s="125">
        <f t="shared" si="81"/>
        <v>0</v>
      </c>
      <c r="T100" s="132">
        <f t="shared" si="63"/>
        <v>2.5</v>
      </c>
      <c r="U100" s="125">
        <f t="shared" si="82"/>
        <v>679.6515819444445</v>
      </c>
      <c r="V100" s="133">
        <f t="shared" si="64"/>
        <v>2595.89</v>
      </c>
      <c r="W100" s="133">
        <f t="shared" si="65"/>
        <v>0</v>
      </c>
      <c r="X100" s="278">
        <f t="shared" si="83"/>
        <v>30.403400000000001</v>
      </c>
      <c r="Y100" s="278">
        <f t="shared" si="84"/>
        <v>-3.4000000000027342E-3</v>
      </c>
      <c r="Z100" s="130">
        <f t="shared" si="85"/>
        <v>2070</v>
      </c>
      <c r="AA100" s="125">
        <f t="shared" si="86"/>
        <v>0.53477304970576112</v>
      </c>
      <c r="AB100" s="132">
        <f t="shared" ca="1" si="88"/>
        <v>573.93080840727066</v>
      </c>
      <c r="AC100" s="132">
        <f t="shared" ca="1" si="89"/>
        <v>-5.404861015995416</v>
      </c>
      <c r="AD100" s="131">
        <f t="shared" ca="1" si="66"/>
        <v>5.4050756252909915</v>
      </c>
      <c r="AE100" s="132">
        <f t="shared" ca="1" si="87"/>
        <v>2.1460929557551211E-4</v>
      </c>
      <c r="AF100" s="132">
        <f t="shared" ca="1" si="90"/>
        <v>579.33566942326604</v>
      </c>
      <c r="AH100" s="126">
        <f t="shared" si="67"/>
        <v>46909</v>
      </c>
      <c r="AI100" s="127">
        <f t="shared" si="68"/>
        <v>679.6515819444445</v>
      </c>
    </row>
    <row r="101" spans="1:35" ht="13.8" x14ac:dyDescent="0.3">
      <c r="A101" s="24">
        <f t="shared" si="69"/>
        <v>69</v>
      </c>
      <c r="B101" s="24">
        <f t="shared" si="61"/>
        <v>1</v>
      </c>
      <c r="C101" s="128">
        <f t="shared" si="70"/>
        <v>46939</v>
      </c>
      <c r="D101" s="129" t="str">
        <f t="shared" si="62"/>
        <v/>
      </c>
      <c r="E101" s="130">
        <f t="shared" si="36"/>
        <v>69</v>
      </c>
      <c r="F101" s="130">
        <f t="shared" si="71"/>
        <v>69</v>
      </c>
      <c r="G101" s="131">
        <f t="shared" si="72"/>
        <v>360</v>
      </c>
      <c r="H101" s="132">
        <f t="shared" si="73"/>
        <v>11.5</v>
      </c>
      <c r="I101" s="130">
        <f t="shared" si="74"/>
        <v>30</v>
      </c>
      <c r="J101" s="133">
        <f t="shared" si="75"/>
        <v>2595.89</v>
      </c>
      <c r="K101" s="124">
        <f t="shared" si="59"/>
        <v>639.7384722222223</v>
      </c>
      <c r="L101" s="132">
        <f t="shared" si="60"/>
        <v>23.66</v>
      </c>
      <c r="M101" s="132">
        <f t="shared" si="76"/>
        <v>4.3031097222222217</v>
      </c>
      <c r="N101" s="132">
        <f t="shared" si="77"/>
        <v>27.963109722222221</v>
      </c>
      <c r="O101" s="132">
        <f t="shared" si="78"/>
        <v>667.70158194444446</v>
      </c>
      <c r="P101" s="132">
        <f t="shared" si="79"/>
        <v>10</v>
      </c>
      <c r="Q101" s="132">
        <f t="shared" si="80"/>
        <v>1.95</v>
      </c>
      <c r="R101" s="132"/>
      <c r="S101" s="125">
        <f t="shared" si="81"/>
        <v>0</v>
      </c>
      <c r="T101" s="132">
        <f t="shared" si="63"/>
        <v>1.95</v>
      </c>
      <c r="U101" s="125">
        <f t="shared" si="82"/>
        <v>679.6515819444445</v>
      </c>
      <c r="V101" s="133">
        <f t="shared" si="64"/>
        <v>1956.15</v>
      </c>
      <c r="W101" s="133">
        <f t="shared" si="65"/>
        <v>0</v>
      </c>
      <c r="X101" s="278">
        <f t="shared" si="83"/>
        <v>23.655000000000001</v>
      </c>
      <c r="Y101" s="278">
        <f t="shared" si="84"/>
        <v>4.9999999999990052E-3</v>
      </c>
      <c r="Z101" s="130">
        <f t="shared" si="85"/>
        <v>2100</v>
      </c>
      <c r="AA101" s="125">
        <f t="shared" si="86"/>
        <v>0.52994395216829904</v>
      </c>
      <c r="AB101" s="132">
        <f t="shared" ca="1" si="88"/>
        <v>579.33566942326604</v>
      </c>
      <c r="AC101" s="132">
        <f t="shared" ca="1" si="89"/>
        <v>-5.2789633926969382</v>
      </c>
      <c r="AD101" s="131">
        <f t="shared" ca="1" si="66"/>
        <v>5.2791780019925136</v>
      </c>
      <c r="AE101" s="132">
        <f t="shared" ca="1" si="87"/>
        <v>2.1460929557551211E-4</v>
      </c>
      <c r="AF101" s="132">
        <f t="shared" ca="1" si="90"/>
        <v>584.61463281596298</v>
      </c>
      <c r="AH101" s="126">
        <f t="shared" si="67"/>
        <v>46939</v>
      </c>
      <c r="AI101" s="127">
        <f t="shared" si="68"/>
        <v>679.6515819444445</v>
      </c>
    </row>
    <row r="102" spans="1:35" ht="13.8" x14ac:dyDescent="0.3">
      <c r="A102" s="24">
        <f t="shared" si="69"/>
        <v>70</v>
      </c>
      <c r="B102" s="24">
        <f t="shared" si="61"/>
        <v>1</v>
      </c>
      <c r="C102" s="128">
        <f t="shared" si="70"/>
        <v>46970</v>
      </c>
      <c r="D102" s="129" t="str">
        <f t="shared" si="62"/>
        <v/>
      </c>
      <c r="E102" s="130">
        <f t="shared" si="36"/>
        <v>70</v>
      </c>
      <c r="F102" s="130">
        <f t="shared" si="71"/>
        <v>70</v>
      </c>
      <c r="G102" s="131">
        <f t="shared" si="72"/>
        <v>360</v>
      </c>
      <c r="H102" s="132">
        <f t="shared" si="73"/>
        <v>11.5</v>
      </c>
      <c r="I102" s="130">
        <f t="shared" si="74"/>
        <v>31</v>
      </c>
      <c r="J102" s="133">
        <f t="shared" si="75"/>
        <v>1956.15</v>
      </c>
      <c r="K102" s="124">
        <f t="shared" si="59"/>
        <v>645.40847222222237</v>
      </c>
      <c r="L102" s="132">
        <f t="shared" si="60"/>
        <v>18.420000000000002</v>
      </c>
      <c r="M102" s="132">
        <f t="shared" si="76"/>
        <v>4.3031097222222217</v>
      </c>
      <c r="N102" s="132">
        <f t="shared" si="77"/>
        <v>22.723109722222222</v>
      </c>
      <c r="O102" s="132">
        <f t="shared" si="78"/>
        <v>668.13158194444452</v>
      </c>
      <c r="P102" s="132">
        <f t="shared" si="79"/>
        <v>10</v>
      </c>
      <c r="Q102" s="132">
        <f t="shared" si="80"/>
        <v>1.52</v>
      </c>
      <c r="R102" s="132"/>
      <c r="S102" s="125">
        <f t="shared" si="81"/>
        <v>0</v>
      </c>
      <c r="T102" s="132">
        <f t="shared" si="63"/>
        <v>1.52</v>
      </c>
      <c r="U102" s="125">
        <f t="shared" si="82"/>
        <v>679.6515819444445</v>
      </c>
      <c r="V102" s="133">
        <f t="shared" si="64"/>
        <v>1310.74</v>
      </c>
      <c r="W102" s="133">
        <f t="shared" si="65"/>
        <v>0</v>
      </c>
      <c r="X102" s="278">
        <f t="shared" si="83"/>
        <v>18.4223</v>
      </c>
      <c r="Y102" s="278">
        <f t="shared" si="84"/>
        <v>-2.2999999999981924E-3</v>
      </c>
      <c r="Z102" s="130">
        <f t="shared" si="85"/>
        <v>2131</v>
      </c>
      <c r="AA102" s="125">
        <f t="shared" si="86"/>
        <v>0.52499969233979127</v>
      </c>
      <c r="AB102" s="132">
        <f t="shared" ca="1" si="88"/>
        <v>584.61463281596298</v>
      </c>
      <c r="AC102" s="132">
        <f t="shared" ca="1" si="89"/>
        <v>-5.5054774632228556</v>
      </c>
      <c r="AD102" s="131">
        <f t="shared" ca="1" si="66"/>
        <v>5.5056920725184311</v>
      </c>
      <c r="AE102" s="132">
        <f t="shared" ca="1" si="87"/>
        <v>2.1460929557551211E-4</v>
      </c>
      <c r="AF102" s="132">
        <f t="shared" ca="1" si="90"/>
        <v>590.12011027918584</v>
      </c>
      <c r="AH102" s="126">
        <f t="shared" si="67"/>
        <v>46970</v>
      </c>
      <c r="AI102" s="127">
        <f t="shared" si="68"/>
        <v>679.6515819444445</v>
      </c>
    </row>
    <row r="103" spans="1:35" ht="13.8" x14ac:dyDescent="0.3">
      <c r="A103" s="24">
        <f t="shared" si="69"/>
        <v>71</v>
      </c>
      <c r="B103" s="24">
        <f t="shared" si="61"/>
        <v>1</v>
      </c>
      <c r="C103" s="128">
        <f t="shared" si="70"/>
        <v>47001</v>
      </c>
      <c r="D103" s="129" t="str">
        <f t="shared" si="62"/>
        <v/>
      </c>
      <c r="E103" s="130">
        <f t="shared" si="36"/>
        <v>71</v>
      </c>
      <c r="F103" s="130">
        <f t="shared" si="71"/>
        <v>71</v>
      </c>
      <c r="G103" s="131">
        <f t="shared" si="72"/>
        <v>360</v>
      </c>
      <c r="H103" s="132">
        <f t="shared" si="73"/>
        <v>11.5</v>
      </c>
      <c r="I103" s="130">
        <f t="shared" si="74"/>
        <v>31</v>
      </c>
      <c r="J103" s="133">
        <f t="shared" si="75"/>
        <v>1310.74</v>
      </c>
      <c r="K103" s="124">
        <f t="shared" si="59"/>
        <v>651.9884722222223</v>
      </c>
      <c r="L103" s="132">
        <f t="shared" si="60"/>
        <v>12.34</v>
      </c>
      <c r="M103" s="132">
        <f t="shared" si="76"/>
        <v>4.3031097222222217</v>
      </c>
      <c r="N103" s="132">
        <f t="shared" si="77"/>
        <v>16.643109722222221</v>
      </c>
      <c r="O103" s="132">
        <f t="shared" si="78"/>
        <v>668.63158194444452</v>
      </c>
      <c r="P103" s="132">
        <f t="shared" si="79"/>
        <v>10</v>
      </c>
      <c r="Q103" s="132">
        <f t="shared" si="80"/>
        <v>1.02</v>
      </c>
      <c r="R103" s="132"/>
      <c r="S103" s="125">
        <f t="shared" si="81"/>
        <v>0</v>
      </c>
      <c r="T103" s="132">
        <f t="shared" si="63"/>
        <v>1.02</v>
      </c>
      <c r="U103" s="125">
        <f t="shared" si="82"/>
        <v>679.6515819444445</v>
      </c>
      <c r="V103" s="133">
        <f t="shared" si="64"/>
        <v>658.75</v>
      </c>
      <c r="W103" s="133">
        <f t="shared" si="65"/>
        <v>0</v>
      </c>
      <c r="X103" s="278">
        <f t="shared" si="83"/>
        <v>12.344099999999999</v>
      </c>
      <c r="Y103" s="278">
        <f t="shared" si="84"/>
        <v>-4.0999999999993264E-3</v>
      </c>
      <c r="Z103" s="130">
        <f t="shared" si="85"/>
        <v>2162</v>
      </c>
      <c r="AA103" s="125">
        <f t="shared" si="86"/>
        <v>0.52010156136161145</v>
      </c>
      <c r="AB103" s="132">
        <f t="shared" ca="1" si="88"/>
        <v>590.12011027918584</v>
      </c>
      <c r="AC103" s="132">
        <f t="shared" ca="1" si="89"/>
        <v>-5.5573260860989047</v>
      </c>
      <c r="AD103" s="131">
        <f t="shared" ca="1" si="66"/>
        <v>5.5575406953944801</v>
      </c>
      <c r="AE103" s="132">
        <f t="shared" ca="1" si="87"/>
        <v>2.1460929557551211E-4</v>
      </c>
      <c r="AF103" s="132">
        <f t="shared" ca="1" si="90"/>
        <v>595.67743636528473</v>
      </c>
      <c r="AH103" s="126">
        <f t="shared" si="67"/>
        <v>47001</v>
      </c>
      <c r="AI103" s="127">
        <f t="shared" si="68"/>
        <v>679.6515819444445</v>
      </c>
    </row>
    <row r="104" spans="1:35" ht="13.8" x14ac:dyDescent="0.3">
      <c r="A104" s="24">
        <f t="shared" si="69"/>
        <v>72</v>
      </c>
      <c r="B104" s="24">
        <f t="shared" si="61"/>
        <v>1</v>
      </c>
      <c r="C104" s="128">
        <f t="shared" si="70"/>
        <v>47031</v>
      </c>
      <c r="D104" s="129" t="str">
        <f t="shared" si="62"/>
        <v/>
      </c>
      <c r="E104" s="130">
        <f t="shared" si="36"/>
        <v>72</v>
      </c>
      <c r="F104" s="130">
        <f t="shared" si="71"/>
        <v>72</v>
      </c>
      <c r="G104" s="131">
        <f t="shared" si="72"/>
        <v>360</v>
      </c>
      <c r="H104" s="132">
        <f t="shared" si="73"/>
        <v>11.5</v>
      </c>
      <c r="I104" s="130">
        <f t="shared" si="74"/>
        <v>30</v>
      </c>
      <c r="J104" s="133">
        <f t="shared" si="75"/>
        <v>658.75</v>
      </c>
      <c r="K104" s="124">
        <f t="shared" si="59"/>
        <v>658.8584722222223</v>
      </c>
      <c r="L104" s="132">
        <f t="shared" si="60"/>
        <v>6</v>
      </c>
      <c r="M104" s="132">
        <f t="shared" si="76"/>
        <v>4.3031097222222217</v>
      </c>
      <c r="N104" s="132">
        <f t="shared" si="77"/>
        <v>10.303109722222221</v>
      </c>
      <c r="O104" s="132">
        <f t="shared" si="78"/>
        <v>669.16158194444449</v>
      </c>
      <c r="P104" s="132">
        <f t="shared" si="79"/>
        <v>10</v>
      </c>
      <c r="Q104" s="132">
        <f t="shared" si="80"/>
        <v>0.49</v>
      </c>
      <c r="R104" s="132"/>
      <c r="S104" s="125">
        <f t="shared" si="81"/>
        <v>0</v>
      </c>
      <c r="T104" s="132">
        <f t="shared" si="63"/>
        <v>0.49</v>
      </c>
      <c r="U104" s="125">
        <f t="shared" si="82"/>
        <v>679.6515819444445</v>
      </c>
      <c r="V104" s="133">
        <f t="shared" si="64"/>
        <v>-0.11</v>
      </c>
      <c r="W104" s="133">
        <f t="shared" si="65"/>
        <v>0</v>
      </c>
      <c r="X104" s="278">
        <f t="shared" si="83"/>
        <v>6.0027999999999997</v>
      </c>
      <c r="Y104" s="278">
        <f t="shared" si="84"/>
        <v>-2.7999999999996916E-3</v>
      </c>
      <c r="Z104" s="130">
        <f t="shared" si="85"/>
        <v>2192</v>
      </c>
      <c r="AA104" s="125">
        <f t="shared" si="86"/>
        <v>0.51540495002230879</v>
      </c>
      <c r="AB104" s="132">
        <f t="shared" ca="1" si="88"/>
        <v>595.67743636528473</v>
      </c>
      <c r="AC104" s="132">
        <f t="shared" ca="1" si="89"/>
        <v>-5.4278772281593346</v>
      </c>
      <c r="AD104" s="131">
        <f t="shared" ca="1" si="66"/>
        <v>5.4280918374549101</v>
      </c>
      <c r="AE104" s="132">
        <f t="shared" ca="1" si="87"/>
        <v>2.1460929557551211E-4</v>
      </c>
      <c r="AF104" s="132">
        <f t="shared" ca="1" si="90"/>
        <v>601.10531359344407</v>
      </c>
      <c r="AH104" s="126">
        <f t="shared" si="67"/>
        <v>47031</v>
      </c>
      <c r="AI104" s="127">
        <f t="shared" si="68"/>
        <v>679.6515819444445</v>
      </c>
    </row>
    <row r="105" spans="1:35" x14ac:dyDescent="0.2">
      <c r="C105" s="134"/>
      <c r="H105" s="13"/>
    </row>
    <row r="106" spans="1:35" ht="13.8" x14ac:dyDescent="0.3">
      <c r="C106" s="134"/>
      <c r="H106" s="13"/>
      <c r="K106" s="135"/>
    </row>
    <row r="107" spans="1:35" x14ac:dyDescent="0.2">
      <c r="C107" s="134"/>
      <c r="K107" s="136"/>
    </row>
    <row r="108" spans="1:35" x14ac:dyDescent="0.2">
      <c r="C108" s="134"/>
    </row>
    <row r="109" spans="1:35" x14ac:dyDescent="0.2">
      <c r="C109" s="134"/>
    </row>
  </sheetData>
  <mergeCells count="4">
    <mergeCell ref="C2:W2"/>
    <mergeCell ref="J21:J22"/>
    <mergeCell ref="K21:K22"/>
    <mergeCell ref="O28:P28"/>
  </mergeCells>
  <pageMargins left="0.75" right="0.75" top="1" bottom="1" header="0" footer="0"/>
  <pageSetup paperSize="9" orientation="portrait" r:id="rId1"/>
  <headerFooter alignWithMargins="0">
    <oddFooter>&amp;C_x000D_&amp;1#&amp;"Calibri"&amp;8&amp;K000000 Información Interna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A7D92-CB84-4DE9-98A2-04331A9765EB}">
  <sheetPr codeName="Hoja4">
    <tabColor rgb="FF0070C0"/>
  </sheetPr>
  <dimension ref="A1:H99"/>
  <sheetViews>
    <sheetView zoomScaleNormal="100" workbookViewId="0">
      <selection activeCell="C10" sqref="C10"/>
    </sheetView>
  </sheetViews>
  <sheetFormatPr baseColWidth="10" defaultColWidth="22.33203125" defaultRowHeight="13.2" x14ac:dyDescent="0.25"/>
  <cols>
    <col min="1" max="1" width="10.44140625" style="2" customWidth="1"/>
    <col min="2" max="2" width="12.33203125" style="2" customWidth="1"/>
    <col min="3" max="3" width="10.44140625" style="2" customWidth="1"/>
    <col min="4" max="4" width="4.5546875" style="2" bestFit="1" customWidth="1"/>
    <col min="5" max="5" width="12.5546875" style="2" customWidth="1"/>
    <col min="6" max="6" width="12.44140625" style="2" bestFit="1" customWidth="1"/>
    <col min="7" max="7" width="13.5546875" style="2" bestFit="1" customWidth="1"/>
    <col min="8" max="8" width="11.33203125" style="2" customWidth="1"/>
    <col min="9" max="16384" width="22.33203125" style="2"/>
  </cols>
  <sheetData>
    <row r="1" spans="1:8" x14ac:dyDescent="0.25">
      <c r="A1" s="321" t="s">
        <v>12</v>
      </c>
      <c r="B1" s="322"/>
      <c r="C1" s="322"/>
      <c r="D1" s="322"/>
      <c r="E1" s="322"/>
      <c r="F1" s="322"/>
      <c r="G1" s="322"/>
      <c r="H1" s="322"/>
    </row>
    <row r="3" spans="1:8" s="138" customFormat="1" ht="39.6" x14ac:dyDescent="0.25">
      <c r="A3" s="137" t="s">
        <v>13</v>
      </c>
      <c r="B3" s="137" t="s">
        <v>65</v>
      </c>
      <c r="C3" s="137" t="s">
        <v>14</v>
      </c>
      <c r="D3" s="137" t="s">
        <v>15</v>
      </c>
      <c r="E3" s="137" t="s">
        <v>16</v>
      </c>
      <c r="F3" s="137" t="s">
        <v>17</v>
      </c>
      <c r="G3" s="137" t="s">
        <v>18</v>
      </c>
      <c r="H3" s="137" t="s">
        <v>112</v>
      </c>
    </row>
    <row r="4" spans="1:8" x14ac:dyDescent="0.25">
      <c r="A4" s="139">
        <v>1</v>
      </c>
      <c r="B4" s="140">
        <f>IF(E4&lt;&gt;"C",IF(ISERROR(1+B3)=TRUE,1,1+B3),IF(ISNUMBER(B3),B3,0))</f>
        <v>1</v>
      </c>
      <c r="C4" s="141">
        <f>+simulador_1!Q7</f>
        <v>44870</v>
      </c>
      <c r="D4" s="139">
        <f t="shared" ref="D4:D67" si="0">MONTH(C4)</f>
        <v>11</v>
      </c>
      <c r="E4" s="139" t="str">
        <f>IF(ISERROR(MATCH(D4,simulador_1!$H$16:$H$17,0))=FALSE,"C",IF(ISERROR(MATCH(D4,simulador_1!$H$18:$H$19,0))=FALSE,"D",""))</f>
        <v/>
      </c>
      <c r="F4" s="142">
        <f>IF(E4="C",0,IF(E4 ="D",ROUND(1/((1+simulador_1!$Q$13)^A4),9) * 2,ROUND(1/((1+simulador_1!$Q$13)^A4),9)))</f>
        <v>0.99083726400000005</v>
      </c>
      <c r="G4" s="142">
        <f>ROUND(F4,9)</f>
        <v>0.99083726400000005</v>
      </c>
      <c r="H4" s="139">
        <f>+COUNTIF($E$4:E4,"C")</f>
        <v>0</v>
      </c>
    </row>
    <row r="5" spans="1:8" x14ac:dyDescent="0.25">
      <c r="A5" s="139">
        <f t="shared" ref="A5:A68" si="1">A4+1</f>
        <v>2</v>
      </c>
      <c r="B5" s="139">
        <f t="shared" ref="B5:B36" si="2">IF(E5&lt;&gt;"C",IF(ISERROR(1+B4)=TRUE,1,1+B4),IF(ISNUMBER(B4),B4,1))</f>
        <v>2</v>
      </c>
      <c r="C5" s="141">
        <f t="shared" ref="C5:C68" si="3">DATE(YEAR(C4) + 1/12,MONTH(C4)+1,DAY(C4))</f>
        <v>44900</v>
      </c>
      <c r="D5" s="139">
        <f t="shared" si="0"/>
        <v>12</v>
      </c>
      <c r="E5" s="139" t="str">
        <f>IF(ISERROR(MATCH(D5,simulador_1!$H$16:$H$17,0))=FALSE,"C",IF(ISERROR(MATCH(D5,simulador_1!$H$18:$H$19,0))=FALSE,"D",""))</f>
        <v/>
      </c>
      <c r="F5" s="142">
        <f>IF(E5="C",0,IF(E5 ="D",ROUND(1/((1+simulador_1!$Q$13)^A5),9) * 2,ROUND(1/((1+simulador_1!$Q$13)^A5),9)))</f>
        <v>0.98175848399999999</v>
      </c>
      <c r="G5" s="142">
        <f>G4+ROUND(F5,9)</f>
        <v>1.972595748</v>
      </c>
      <c r="H5" s="139">
        <f>+COUNTIF($E$4:E5,"C")</f>
        <v>0</v>
      </c>
    </row>
    <row r="6" spans="1:8" x14ac:dyDescent="0.25">
      <c r="A6" s="139">
        <f t="shared" si="1"/>
        <v>3</v>
      </c>
      <c r="B6" s="139">
        <f t="shared" si="2"/>
        <v>3</v>
      </c>
      <c r="C6" s="141">
        <f t="shared" si="3"/>
        <v>44931</v>
      </c>
      <c r="D6" s="139">
        <f t="shared" si="0"/>
        <v>1</v>
      </c>
      <c r="E6" s="139" t="str">
        <f>IF(ISERROR(MATCH(D6,simulador_1!$H$16:$H$17,0))=FALSE,"C",IF(ISERROR(MATCH(D6,simulador_1!$H$18:$H$19,0))=FALSE,"D",""))</f>
        <v/>
      </c>
      <c r="F6" s="142">
        <f>IF(E6="C",0,IF(E6 ="D",ROUND(1/((1+simulador_1!$Q$13)^A6),9) * 2,ROUND(1/((1+simulador_1!$Q$13)^A6),9)))</f>
        <v>0.97276289100000002</v>
      </c>
      <c r="G6" s="142">
        <f t="shared" ref="G6:G69" si="4">G5+ROUND(F6,9)</f>
        <v>2.9453586390000002</v>
      </c>
      <c r="H6" s="139">
        <f>+COUNTIF($E$4:E6,"C")</f>
        <v>0</v>
      </c>
    </row>
    <row r="7" spans="1:8" x14ac:dyDescent="0.25">
      <c r="A7" s="139">
        <f t="shared" si="1"/>
        <v>4</v>
      </c>
      <c r="B7" s="139">
        <f t="shared" si="2"/>
        <v>4</v>
      </c>
      <c r="C7" s="141">
        <f t="shared" si="3"/>
        <v>44962</v>
      </c>
      <c r="D7" s="139">
        <f t="shared" si="0"/>
        <v>2</v>
      </c>
      <c r="E7" s="139" t="str">
        <f>IF(ISERROR(MATCH(D7,simulador_1!$H$16:$H$17,0))=FALSE,"C",IF(ISERROR(MATCH(D7,simulador_1!$H$18:$H$19,0))=FALSE,"D",""))</f>
        <v/>
      </c>
      <c r="F7" s="142">
        <f>IF(E7="C",0,IF(E7 ="D",ROUND(1/((1+simulador_1!$Q$13)^A7),9) * 2,ROUND(1/((1+simulador_1!$Q$13)^A7),9)))</f>
        <v>0.96384972099999999</v>
      </c>
      <c r="G7" s="142">
        <f t="shared" si="4"/>
        <v>3.90920836</v>
      </c>
      <c r="H7" s="139">
        <f>+COUNTIF($E$4:E7,"C")</f>
        <v>0</v>
      </c>
    </row>
    <row r="8" spans="1:8" x14ac:dyDescent="0.25">
      <c r="A8" s="139">
        <f t="shared" si="1"/>
        <v>5</v>
      </c>
      <c r="B8" s="139">
        <f t="shared" si="2"/>
        <v>5</v>
      </c>
      <c r="C8" s="141">
        <f t="shared" si="3"/>
        <v>44990</v>
      </c>
      <c r="D8" s="139">
        <f t="shared" si="0"/>
        <v>3</v>
      </c>
      <c r="E8" s="139" t="str">
        <f>IF(ISERROR(MATCH(D8,simulador_1!$H$16:$H$17,0))=FALSE,"C",IF(ISERROR(MATCH(D8,simulador_1!$H$18:$H$19,0))=FALSE,"D",""))</f>
        <v/>
      </c>
      <c r="F8" s="142">
        <f>IF(E8="C",0,IF(E8 ="D",ROUND(1/((1+simulador_1!$Q$13)^A8),9) * 2,ROUND(1/((1+simulador_1!$Q$13)^A8),9)))</f>
        <v>0.955018221</v>
      </c>
      <c r="G8" s="142">
        <f t="shared" si="4"/>
        <v>4.8642265810000005</v>
      </c>
      <c r="H8" s="139">
        <f>+COUNTIF($E$4:E8,"C")</f>
        <v>0</v>
      </c>
    </row>
    <row r="9" spans="1:8" x14ac:dyDescent="0.25">
      <c r="A9" s="139">
        <f t="shared" si="1"/>
        <v>6</v>
      </c>
      <c r="B9" s="139">
        <f t="shared" si="2"/>
        <v>6</v>
      </c>
      <c r="C9" s="141">
        <f t="shared" si="3"/>
        <v>45021</v>
      </c>
      <c r="D9" s="139">
        <f t="shared" si="0"/>
        <v>4</v>
      </c>
      <c r="E9" s="139" t="str">
        <f>IF(ISERROR(MATCH(D9,simulador_1!$H$16:$H$17,0))=FALSE,"C",IF(ISERROR(MATCH(D9,simulador_1!$H$18:$H$19,0))=FALSE,"D",""))</f>
        <v/>
      </c>
      <c r="F9" s="142">
        <f>IF(E9="C",0,IF(E9 ="D",ROUND(1/((1+simulador_1!$Q$13)^A9),9) * 2,ROUND(1/((1+simulador_1!$Q$13)^A9),9)))</f>
        <v>0.94626764100000005</v>
      </c>
      <c r="G9" s="142">
        <f t="shared" si="4"/>
        <v>5.8104942220000009</v>
      </c>
      <c r="H9" s="139">
        <f>+COUNTIF($E$4:E9,"C")</f>
        <v>0</v>
      </c>
    </row>
    <row r="10" spans="1:8" x14ac:dyDescent="0.25">
      <c r="A10" s="139">
        <f t="shared" si="1"/>
        <v>7</v>
      </c>
      <c r="B10" s="139">
        <f t="shared" si="2"/>
        <v>7</v>
      </c>
      <c r="C10" s="141">
        <f t="shared" si="3"/>
        <v>45051</v>
      </c>
      <c r="D10" s="139">
        <f t="shared" si="0"/>
        <v>5</v>
      </c>
      <c r="E10" s="139" t="str">
        <f>IF(ISERROR(MATCH(D10,simulador_1!$H$16:$H$17,0))=FALSE,"C",IF(ISERROR(MATCH(D10,simulador_1!$H$18:$H$19,0))=FALSE,"D",""))</f>
        <v/>
      </c>
      <c r="F10" s="142">
        <f>IF(E10="C",0,IF(E10 ="D",ROUND(1/((1+simulador_1!$Q$13)^A10),9) * 2,ROUND(1/((1+simulador_1!$Q$13)^A10),9)))</f>
        <v>0.93759724099999997</v>
      </c>
      <c r="G10" s="142">
        <f t="shared" si="4"/>
        <v>6.7480914630000006</v>
      </c>
      <c r="H10" s="139">
        <f>+COUNTIF($E$4:E10,"C")</f>
        <v>0</v>
      </c>
    </row>
    <row r="11" spans="1:8" x14ac:dyDescent="0.25">
      <c r="A11" s="139">
        <f t="shared" si="1"/>
        <v>8</v>
      </c>
      <c r="B11" s="139">
        <f t="shared" si="2"/>
        <v>8</v>
      </c>
      <c r="C11" s="141">
        <f t="shared" si="3"/>
        <v>45082</v>
      </c>
      <c r="D11" s="139">
        <f t="shared" si="0"/>
        <v>6</v>
      </c>
      <c r="E11" s="139" t="str">
        <f>IF(ISERROR(MATCH(D11,simulador_1!$H$16:$H$17,0))=FALSE,"C",IF(ISERROR(MATCH(D11,simulador_1!$H$18:$H$19,0))=FALSE,"D",""))</f>
        <v/>
      </c>
      <c r="F11" s="142">
        <f>IF(E11="C",0,IF(E11 ="D",ROUND(1/((1+simulador_1!$Q$13)^A11),9) * 2,ROUND(1/((1+simulador_1!$Q$13)^A11),9)))</f>
        <v>0.92900628500000004</v>
      </c>
      <c r="G11" s="142">
        <f t="shared" si="4"/>
        <v>7.6770977480000004</v>
      </c>
      <c r="H11" s="139">
        <f>+COUNTIF($E$4:E11,"C")</f>
        <v>0</v>
      </c>
    </row>
    <row r="12" spans="1:8" x14ac:dyDescent="0.25">
      <c r="A12" s="139">
        <f t="shared" si="1"/>
        <v>9</v>
      </c>
      <c r="B12" s="139">
        <f t="shared" si="2"/>
        <v>9</v>
      </c>
      <c r="C12" s="141">
        <f t="shared" si="3"/>
        <v>45112</v>
      </c>
      <c r="D12" s="139">
        <f t="shared" si="0"/>
        <v>7</v>
      </c>
      <c r="E12" s="139" t="str">
        <f>IF(ISERROR(MATCH(D12,simulador_1!$H$16:$H$17,0))=FALSE,"C",IF(ISERROR(MATCH(D12,simulador_1!$H$18:$H$19,0))=FALSE,"D",""))</f>
        <v/>
      </c>
      <c r="F12" s="142">
        <f>IF(E12="C",0,IF(E12 ="D",ROUND(1/((1+simulador_1!$Q$13)^A12),9) * 2,ROUND(1/((1+simulador_1!$Q$13)^A12),9)))</f>
        <v>0.92049404599999995</v>
      </c>
      <c r="G12" s="142">
        <f t="shared" si="4"/>
        <v>8.5975917939999995</v>
      </c>
      <c r="H12" s="139">
        <f>+COUNTIF($E$4:E12,"C")</f>
        <v>0</v>
      </c>
    </row>
    <row r="13" spans="1:8" x14ac:dyDescent="0.25">
      <c r="A13" s="139">
        <f t="shared" si="1"/>
        <v>10</v>
      </c>
      <c r="B13" s="139">
        <f t="shared" si="2"/>
        <v>10</v>
      </c>
      <c r="C13" s="141">
        <f t="shared" si="3"/>
        <v>45143</v>
      </c>
      <c r="D13" s="139">
        <f t="shared" si="0"/>
        <v>8</v>
      </c>
      <c r="E13" s="139" t="str">
        <f>IF(ISERROR(MATCH(D13,simulador_1!$H$16:$H$17,0))=FALSE,"C",IF(ISERROR(MATCH(D13,simulador_1!$H$18:$H$19,0))=FALSE,"D",""))</f>
        <v/>
      </c>
      <c r="F13" s="142">
        <f>IF(E13="C",0,IF(E13 ="D",ROUND(1/((1+simulador_1!$Q$13)^A13),9) * 2,ROUND(1/((1+simulador_1!$Q$13)^A13),9)))</f>
        <v>0.91205980200000003</v>
      </c>
      <c r="G13" s="142">
        <f t="shared" si="4"/>
        <v>9.5096515959999994</v>
      </c>
      <c r="H13" s="139">
        <f>+COUNTIF($E$4:E13,"C")</f>
        <v>0</v>
      </c>
    </row>
    <row r="14" spans="1:8" x14ac:dyDescent="0.25">
      <c r="A14" s="139">
        <f t="shared" si="1"/>
        <v>11</v>
      </c>
      <c r="B14" s="139">
        <f t="shared" si="2"/>
        <v>11</v>
      </c>
      <c r="C14" s="141">
        <f t="shared" si="3"/>
        <v>45174</v>
      </c>
      <c r="D14" s="139">
        <f t="shared" si="0"/>
        <v>9</v>
      </c>
      <c r="E14" s="139" t="str">
        <f>IF(ISERROR(MATCH(D14,simulador_1!$H$16:$H$17,0))=FALSE,"C",IF(ISERROR(MATCH(D14,simulador_1!$H$18:$H$19,0))=FALSE,"D",""))</f>
        <v/>
      </c>
      <c r="F14" s="142">
        <f>IF(E14="C",0,IF(E14 ="D",ROUND(1/((1+simulador_1!$Q$13)^A14),9) * 2,ROUND(1/((1+simulador_1!$Q$13)^A14),9)))</f>
        <v>0.90370283900000004</v>
      </c>
      <c r="G14" s="142">
        <f t="shared" si="4"/>
        <v>10.413354434999999</v>
      </c>
      <c r="H14" s="139">
        <f>+COUNTIF($E$4:E14,"C")</f>
        <v>0</v>
      </c>
    </row>
    <row r="15" spans="1:8" x14ac:dyDescent="0.25">
      <c r="A15" s="139">
        <f t="shared" si="1"/>
        <v>12</v>
      </c>
      <c r="B15" s="139">
        <f t="shared" si="2"/>
        <v>12</v>
      </c>
      <c r="C15" s="141">
        <f t="shared" si="3"/>
        <v>45204</v>
      </c>
      <c r="D15" s="139">
        <f t="shared" si="0"/>
        <v>10</v>
      </c>
      <c r="E15" s="139" t="str">
        <f>IF(ISERROR(MATCH(D15,simulador_1!$H$16:$H$17,0))=FALSE,"C",IF(ISERROR(MATCH(D15,simulador_1!$H$18:$H$19,0))=FALSE,"D",""))</f>
        <v/>
      </c>
      <c r="F15" s="142">
        <f>IF(E15="C",0,IF(E15 ="D",ROUND(1/((1+simulador_1!$Q$13)^A15),9) * 2,ROUND(1/((1+simulador_1!$Q$13)^A15),9)))</f>
        <v>0.89542244900000001</v>
      </c>
      <c r="G15" s="142">
        <f t="shared" si="4"/>
        <v>11.308776883999998</v>
      </c>
      <c r="H15" s="139">
        <f>+COUNTIF($E$4:E15,"C")</f>
        <v>0</v>
      </c>
    </row>
    <row r="16" spans="1:8" x14ac:dyDescent="0.25">
      <c r="A16" s="139">
        <f t="shared" si="1"/>
        <v>13</v>
      </c>
      <c r="B16" s="139">
        <f t="shared" si="2"/>
        <v>13</v>
      </c>
      <c r="C16" s="141">
        <f t="shared" si="3"/>
        <v>45235</v>
      </c>
      <c r="D16" s="139">
        <f t="shared" si="0"/>
        <v>11</v>
      </c>
      <c r="E16" s="139" t="str">
        <f>IF(ISERROR(MATCH(D16,simulador_1!$H$16:$H$17,0))=FALSE,"C",IF(ISERROR(MATCH(D16,simulador_1!$H$18:$H$19,0))=FALSE,"D",""))</f>
        <v/>
      </c>
      <c r="F16" s="142">
        <f>IF(E16="C",0,IF(E16 ="D",ROUND(1/((1+simulador_1!$Q$13)^A16),9) * 2,ROUND(1/((1+simulador_1!$Q$13)^A16),9)))</f>
        <v>0.88721793000000004</v>
      </c>
      <c r="G16" s="142">
        <f t="shared" si="4"/>
        <v>12.195994813999999</v>
      </c>
      <c r="H16" s="139">
        <f>+COUNTIF($E$4:E16,"C")</f>
        <v>0</v>
      </c>
    </row>
    <row r="17" spans="1:8" x14ac:dyDescent="0.25">
      <c r="A17" s="139">
        <f t="shared" si="1"/>
        <v>14</v>
      </c>
      <c r="B17" s="139">
        <f t="shared" si="2"/>
        <v>14</v>
      </c>
      <c r="C17" s="141">
        <f t="shared" si="3"/>
        <v>45265</v>
      </c>
      <c r="D17" s="139">
        <f t="shared" si="0"/>
        <v>12</v>
      </c>
      <c r="E17" s="139" t="str">
        <f>IF(ISERROR(MATCH(D17,simulador_1!$H$16:$H$17,0))=FALSE,"C",IF(ISERROR(MATCH(D17,simulador_1!$H$18:$H$19,0))=FALSE,"D",""))</f>
        <v/>
      </c>
      <c r="F17" s="142">
        <f>IF(E17="C",0,IF(E17 ="D",ROUND(1/((1+simulador_1!$Q$13)^A17),9) * 2,ROUND(1/((1+simulador_1!$Q$13)^A17),9)))</f>
        <v>0.87908858599999995</v>
      </c>
      <c r="G17" s="142">
        <f t="shared" si="4"/>
        <v>13.075083399999999</v>
      </c>
      <c r="H17" s="139">
        <f>+COUNTIF($E$4:E17,"C")</f>
        <v>0</v>
      </c>
    </row>
    <row r="18" spans="1:8" x14ac:dyDescent="0.25">
      <c r="A18" s="139">
        <f t="shared" si="1"/>
        <v>15</v>
      </c>
      <c r="B18" s="139">
        <f t="shared" si="2"/>
        <v>15</v>
      </c>
      <c r="C18" s="141">
        <f t="shared" si="3"/>
        <v>45296</v>
      </c>
      <c r="D18" s="139">
        <f t="shared" si="0"/>
        <v>1</v>
      </c>
      <c r="E18" s="139" t="str">
        <f>IF(ISERROR(MATCH(D18,simulador_1!$H$16:$H$17,0))=FALSE,"C",IF(ISERROR(MATCH(D18,simulador_1!$H$18:$H$19,0))=FALSE,"D",""))</f>
        <v/>
      </c>
      <c r="F18" s="142">
        <f>IF(E18="C",0,IF(E18 ="D",ROUND(1/((1+simulador_1!$Q$13)^A18),9) * 2,ROUND(1/((1+simulador_1!$Q$13)^A18),9)))</f>
        <v>0.87103372999999995</v>
      </c>
      <c r="G18" s="142">
        <f t="shared" si="4"/>
        <v>13.946117129999999</v>
      </c>
      <c r="H18" s="139">
        <f>+COUNTIF($E$4:E18,"C")</f>
        <v>0</v>
      </c>
    </row>
    <row r="19" spans="1:8" x14ac:dyDescent="0.25">
      <c r="A19" s="139">
        <f t="shared" si="1"/>
        <v>16</v>
      </c>
      <c r="B19" s="139">
        <f t="shared" si="2"/>
        <v>16</v>
      </c>
      <c r="C19" s="141">
        <f t="shared" si="3"/>
        <v>45327</v>
      </c>
      <c r="D19" s="139">
        <f t="shared" si="0"/>
        <v>2</v>
      </c>
      <c r="E19" s="139" t="str">
        <f>IF(ISERROR(MATCH(D19,simulador_1!$H$16:$H$17,0))=FALSE,"C",IF(ISERROR(MATCH(D19,simulador_1!$H$18:$H$19,0))=FALSE,"D",""))</f>
        <v/>
      </c>
      <c r="F19" s="142">
        <f>IF(E19="C",0,IF(E19 ="D",ROUND(1/((1+simulador_1!$Q$13)^A19),9) * 2,ROUND(1/((1+simulador_1!$Q$13)^A19),9)))</f>
        <v>0.86305267799999996</v>
      </c>
      <c r="G19" s="142">
        <f t="shared" si="4"/>
        <v>14.809169808</v>
      </c>
      <c r="H19" s="139">
        <f>+COUNTIF($E$4:E19,"C")</f>
        <v>0</v>
      </c>
    </row>
    <row r="20" spans="1:8" x14ac:dyDescent="0.25">
      <c r="A20" s="139">
        <f t="shared" si="1"/>
        <v>17</v>
      </c>
      <c r="B20" s="139">
        <f t="shared" si="2"/>
        <v>17</v>
      </c>
      <c r="C20" s="141">
        <f t="shared" si="3"/>
        <v>45356</v>
      </c>
      <c r="D20" s="139">
        <f t="shared" si="0"/>
        <v>3</v>
      </c>
      <c r="E20" s="139" t="str">
        <f>IF(ISERROR(MATCH(D20,simulador_1!$H$16:$H$17,0))=FALSE,"C",IF(ISERROR(MATCH(D20,simulador_1!$H$18:$H$19,0))=FALSE,"D",""))</f>
        <v/>
      </c>
      <c r="F20" s="142">
        <f>IF(E20="C",0,IF(E20 ="D",ROUND(1/((1+simulador_1!$Q$13)^A20),9) * 2,ROUND(1/((1+simulador_1!$Q$13)^A20),9)))</f>
        <v>0.85514475400000001</v>
      </c>
      <c r="G20" s="142">
        <f t="shared" si="4"/>
        <v>15.664314561999999</v>
      </c>
      <c r="H20" s="139">
        <f>+COUNTIF($E$4:E20,"C")</f>
        <v>0</v>
      </c>
    </row>
    <row r="21" spans="1:8" x14ac:dyDescent="0.25">
      <c r="A21" s="139">
        <f t="shared" si="1"/>
        <v>18</v>
      </c>
      <c r="B21" s="139">
        <f t="shared" si="2"/>
        <v>18</v>
      </c>
      <c r="C21" s="141">
        <f t="shared" si="3"/>
        <v>45387</v>
      </c>
      <c r="D21" s="139">
        <f t="shared" si="0"/>
        <v>4</v>
      </c>
      <c r="E21" s="139" t="str">
        <f>IF(ISERROR(MATCH(D21,simulador_1!$H$16:$H$17,0))=FALSE,"C",IF(ISERROR(MATCH(D21,simulador_1!$H$18:$H$19,0))=FALSE,"D",""))</f>
        <v/>
      </c>
      <c r="F21" s="142">
        <f>IF(E21="C",0,IF(E21 ="D",ROUND(1/((1+simulador_1!$Q$13)^A21),9) * 2,ROUND(1/((1+simulador_1!$Q$13)^A21),9)))</f>
        <v>0.84730928900000002</v>
      </c>
      <c r="G21" s="142">
        <f t="shared" si="4"/>
        <v>16.511623851</v>
      </c>
      <c r="H21" s="139">
        <f>+COUNTIF($E$4:E21,"C")</f>
        <v>0</v>
      </c>
    </row>
    <row r="22" spans="1:8" x14ac:dyDescent="0.25">
      <c r="A22" s="139">
        <f t="shared" si="1"/>
        <v>19</v>
      </c>
      <c r="B22" s="139">
        <f t="shared" si="2"/>
        <v>19</v>
      </c>
      <c r="C22" s="141">
        <f t="shared" si="3"/>
        <v>45417</v>
      </c>
      <c r="D22" s="139">
        <f t="shared" si="0"/>
        <v>5</v>
      </c>
      <c r="E22" s="139" t="str">
        <f>IF(ISERROR(MATCH(D22,simulador_1!$H$16:$H$17,0))=FALSE,"C",IF(ISERROR(MATCH(D22,simulador_1!$H$18:$H$19,0))=FALSE,"D",""))</f>
        <v/>
      </c>
      <c r="F22" s="142">
        <f>IF(E22="C",0,IF(E22 ="D",ROUND(1/((1+simulador_1!$Q$13)^A22),9) * 2,ROUND(1/((1+simulador_1!$Q$13)^A22),9)))</f>
        <v>0.83954561800000005</v>
      </c>
      <c r="G22" s="142">
        <f t="shared" si="4"/>
        <v>17.351169468999998</v>
      </c>
      <c r="H22" s="139">
        <f>+COUNTIF($E$4:E22,"C")</f>
        <v>0</v>
      </c>
    </row>
    <row r="23" spans="1:8" x14ac:dyDescent="0.25">
      <c r="A23" s="139">
        <f t="shared" si="1"/>
        <v>20</v>
      </c>
      <c r="B23" s="139">
        <f t="shared" si="2"/>
        <v>20</v>
      </c>
      <c r="C23" s="141">
        <f t="shared" si="3"/>
        <v>45448</v>
      </c>
      <c r="D23" s="139">
        <f t="shared" si="0"/>
        <v>6</v>
      </c>
      <c r="E23" s="139" t="str">
        <f>IF(ISERROR(MATCH(D23,simulador_1!$H$16:$H$17,0))=FALSE,"C",IF(ISERROR(MATCH(D23,simulador_1!$H$18:$H$19,0))=FALSE,"D",""))</f>
        <v/>
      </c>
      <c r="F23" s="142">
        <f>IF(E23="C",0,IF(E23 ="D",ROUND(1/((1+simulador_1!$Q$13)^A23),9) * 2,ROUND(1/((1+simulador_1!$Q$13)^A23),9)))</f>
        <v>0.83185308300000005</v>
      </c>
      <c r="G23" s="142">
        <f t="shared" si="4"/>
        <v>18.183022551999997</v>
      </c>
      <c r="H23" s="139">
        <f>+COUNTIF($E$4:E23,"C")</f>
        <v>0</v>
      </c>
    </row>
    <row r="24" spans="1:8" x14ac:dyDescent="0.25">
      <c r="A24" s="139">
        <f t="shared" si="1"/>
        <v>21</v>
      </c>
      <c r="B24" s="139">
        <f t="shared" si="2"/>
        <v>21</v>
      </c>
      <c r="C24" s="141">
        <f t="shared" si="3"/>
        <v>45478</v>
      </c>
      <c r="D24" s="139">
        <f t="shared" si="0"/>
        <v>7</v>
      </c>
      <c r="E24" s="139" t="str">
        <f>IF(ISERROR(MATCH(D24,simulador_1!$H$16:$H$17,0))=FALSE,"C",IF(ISERROR(MATCH(D24,simulador_1!$H$18:$H$19,0))=FALSE,"D",""))</f>
        <v/>
      </c>
      <c r="F24" s="142">
        <f>IF(E24="C",0,IF(E24 ="D",ROUND(1/((1+simulador_1!$Q$13)^A24),9) * 2,ROUND(1/((1+simulador_1!$Q$13)^A24),9)))</f>
        <v>0.824231033</v>
      </c>
      <c r="G24" s="142">
        <f t="shared" si="4"/>
        <v>19.007253584999997</v>
      </c>
      <c r="H24" s="139">
        <f>+COUNTIF($E$4:E24,"C")</f>
        <v>0</v>
      </c>
    </row>
    <row r="25" spans="1:8" x14ac:dyDescent="0.25">
      <c r="A25" s="139">
        <f t="shared" si="1"/>
        <v>22</v>
      </c>
      <c r="B25" s="139">
        <f t="shared" si="2"/>
        <v>22</v>
      </c>
      <c r="C25" s="141">
        <f t="shared" si="3"/>
        <v>45509</v>
      </c>
      <c r="D25" s="139">
        <f t="shared" si="0"/>
        <v>8</v>
      </c>
      <c r="E25" s="139" t="str">
        <f>IF(ISERROR(MATCH(D25,simulador_1!$H$16:$H$17,0))=FALSE,"C",IF(ISERROR(MATCH(D25,simulador_1!$H$18:$H$19,0))=FALSE,"D",""))</f>
        <v/>
      </c>
      <c r="F25" s="142">
        <f>IF(E25="C",0,IF(E25 ="D",ROUND(1/((1+simulador_1!$Q$13)^A25),9) * 2,ROUND(1/((1+simulador_1!$Q$13)^A25),9)))</f>
        <v>0.81667882199999997</v>
      </c>
      <c r="G25" s="142">
        <f t="shared" si="4"/>
        <v>19.823932406999997</v>
      </c>
      <c r="H25" s="139">
        <f>+COUNTIF($E$4:E25,"C")</f>
        <v>0</v>
      </c>
    </row>
    <row r="26" spans="1:8" x14ac:dyDescent="0.25">
      <c r="A26" s="139">
        <f t="shared" si="1"/>
        <v>23</v>
      </c>
      <c r="B26" s="139">
        <f t="shared" si="2"/>
        <v>23</v>
      </c>
      <c r="C26" s="141">
        <f t="shared" si="3"/>
        <v>45540</v>
      </c>
      <c r="D26" s="139">
        <f t="shared" si="0"/>
        <v>9</v>
      </c>
      <c r="E26" s="139" t="str">
        <f>IF(ISERROR(MATCH(D26,simulador_1!$H$16:$H$17,0))=FALSE,"C",IF(ISERROR(MATCH(D26,simulador_1!$H$18:$H$19,0))=FALSE,"D",""))</f>
        <v/>
      </c>
      <c r="F26" s="142">
        <f>IF(E26="C",0,IF(E26 ="D",ROUND(1/((1+simulador_1!$Q$13)^A26),9) * 2,ROUND(1/((1+simulador_1!$Q$13)^A26),9)))</f>
        <v>0.80919580999999996</v>
      </c>
      <c r="G26" s="142">
        <f t="shared" si="4"/>
        <v>20.633128216999996</v>
      </c>
      <c r="H26" s="139">
        <f>+COUNTIF($E$4:E26,"C")</f>
        <v>0</v>
      </c>
    </row>
    <row r="27" spans="1:8" x14ac:dyDescent="0.25">
      <c r="A27" s="139">
        <f t="shared" si="1"/>
        <v>24</v>
      </c>
      <c r="B27" s="139">
        <f t="shared" si="2"/>
        <v>24</v>
      </c>
      <c r="C27" s="141">
        <f t="shared" si="3"/>
        <v>45570</v>
      </c>
      <c r="D27" s="139">
        <f t="shared" si="0"/>
        <v>10</v>
      </c>
      <c r="E27" s="139" t="str">
        <f>IF(ISERROR(MATCH(D27,simulador_1!$H$16:$H$17,0))=FALSE,"C",IF(ISERROR(MATCH(D27,simulador_1!$H$18:$H$19,0))=FALSE,"D",""))</f>
        <v/>
      </c>
      <c r="F27" s="142">
        <f>IF(E27="C",0,IF(E27 ="D",ROUND(1/((1+simulador_1!$Q$13)^A27),9) * 2,ROUND(1/((1+simulador_1!$Q$13)^A27),9)))</f>
        <v>0.80178136200000005</v>
      </c>
      <c r="G27" s="142">
        <f t="shared" si="4"/>
        <v>21.434909578999996</v>
      </c>
      <c r="H27" s="139">
        <f>+COUNTIF($E$4:E27,"C")</f>
        <v>0</v>
      </c>
    </row>
    <row r="28" spans="1:8" x14ac:dyDescent="0.25">
      <c r="A28" s="139">
        <f t="shared" si="1"/>
        <v>25</v>
      </c>
      <c r="B28" s="139">
        <f t="shared" si="2"/>
        <v>25</v>
      </c>
      <c r="C28" s="141">
        <f t="shared" si="3"/>
        <v>45601</v>
      </c>
      <c r="D28" s="139">
        <f t="shared" si="0"/>
        <v>11</v>
      </c>
      <c r="E28" s="139" t="str">
        <f>IF(ISERROR(MATCH(D28,simulador_1!$H$16:$H$17,0))=FALSE,"C",IF(ISERROR(MATCH(D28,simulador_1!$H$18:$H$19,0))=FALSE,"D",""))</f>
        <v/>
      </c>
      <c r="F28" s="142">
        <f>IF(E28="C",0,IF(E28 ="D",ROUND(1/((1+simulador_1!$Q$13)^A28),9) * 2,ROUND(1/((1+simulador_1!$Q$13)^A28),9)))</f>
        <v>0.79443485199999997</v>
      </c>
      <c r="G28" s="142">
        <f t="shared" si="4"/>
        <v>22.229344430999994</v>
      </c>
      <c r="H28" s="139">
        <f>+COUNTIF($E$4:E28,"C")</f>
        <v>0</v>
      </c>
    </row>
    <row r="29" spans="1:8" x14ac:dyDescent="0.25">
      <c r="A29" s="139">
        <f t="shared" si="1"/>
        <v>26</v>
      </c>
      <c r="B29" s="139">
        <f t="shared" si="2"/>
        <v>26</v>
      </c>
      <c r="C29" s="141">
        <f t="shared" si="3"/>
        <v>45631</v>
      </c>
      <c r="D29" s="139">
        <f t="shared" si="0"/>
        <v>12</v>
      </c>
      <c r="E29" s="139" t="str">
        <f>IF(ISERROR(MATCH(D29,simulador_1!$H$16:$H$17,0))=FALSE,"C",IF(ISERROR(MATCH(D29,simulador_1!$H$18:$H$19,0))=FALSE,"D",""))</f>
        <v/>
      </c>
      <c r="F29" s="142">
        <f>IF(E29="C",0,IF(E29 ="D",ROUND(1/((1+simulador_1!$Q$13)^A29),9) * 2,ROUND(1/((1+simulador_1!$Q$13)^A29),9)))</f>
        <v>0.78715565499999995</v>
      </c>
      <c r="G29" s="142">
        <f t="shared" si="4"/>
        <v>23.016500085999994</v>
      </c>
      <c r="H29" s="139">
        <f>+COUNTIF($E$4:E29,"C")</f>
        <v>0</v>
      </c>
    </row>
    <row r="30" spans="1:8" x14ac:dyDescent="0.25">
      <c r="A30" s="139">
        <f t="shared" si="1"/>
        <v>27</v>
      </c>
      <c r="B30" s="139">
        <f t="shared" si="2"/>
        <v>27</v>
      </c>
      <c r="C30" s="141">
        <f t="shared" si="3"/>
        <v>45662</v>
      </c>
      <c r="D30" s="139">
        <f t="shared" si="0"/>
        <v>1</v>
      </c>
      <c r="E30" s="139" t="str">
        <f>IF(ISERROR(MATCH(D30,simulador_1!$H$16:$H$17,0))=FALSE,"C",IF(ISERROR(MATCH(D30,simulador_1!$H$18:$H$19,0))=FALSE,"D",""))</f>
        <v/>
      </c>
      <c r="F30" s="142">
        <f>IF(E30="C",0,IF(E30 ="D",ROUND(1/((1+simulador_1!$Q$13)^A30),9) * 2,ROUND(1/((1+simulador_1!$Q$13)^A30),9)))</f>
        <v>0.77994315599999997</v>
      </c>
      <c r="G30" s="142">
        <f t="shared" si="4"/>
        <v>23.796443241999995</v>
      </c>
      <c r="H30" s="139">
        <f>+COUNTIF($E$4:E30,"C")</f>
        <v>0</v>
      </c>
    </row>
    <row r="31" spans="1:8" x14ac:dyDescent="0.25">
      <c r="A31" s="139">
        <f t="shared" si="1"/>
        <v>28</v>
      </c>
      <c r="B31" s="139">
        <f t="shared" si="2"/>
        <v>28</v>
      </c>
      <c r="C31" s="141">
        <f t="shared" si="3"/>
        <v>45693</v>
      </c>
      <c r="D31" s="139">
        <f t="shared" si="0"/>
        <v>2</v>
      </c>
      <c r="E31" s="139" t="str">
        <f>IF(ISERROR(MATCH(D31,simulador_1!$H$16:$H$17,0))=FALSE,"C",IF(ISERROR(MATCH(D31,simulador_1!$H$18:$H$19,0))=FALSE,"D",""))</f>
        <v/>
      </c>
      <c r="F31" s="142">
        <f>IF(E31="C",0,IF(E31 ="D",ROUND(1/((1+simulador_1!$Q$13)^A31),9) * 2,ROUND(1/((1+simulador_1!$Q$13)^A31),9)))</f>
        <v>0.77279674300000001</v>
      </c>
      <c r="G31" s="142">
        <f t="shared" si="4"/>
        <v>24.569239984999996</v>
      </c>
      <c r="H31" s="139">
        <f>+COUNTIF($E$4:E31,"C")</f>
        <v>0</v>
      </c>
    </row>
    <row r="32" spans="1:8" x14ac:dyDescent="0.25">
      <c r="A32" s="139">
        <f t="shared" si="1"/>
        <v>29</v>
      </c>
      <c r="B32" s="139">
        <f t="shared" si="2"/>
        <v>29</v>
      </c>
      <c r="C32" s="141">
        <f t="shared" si="3"/>
        <v>45721</v>
      </c>
      <c r="D32" s="139">
        <f t="shared" si="0"/>
        <v>3</v>
      </c>
      <c r="E32" s="139" t="str">
        <f>IF(ISERROR(MATCH(D32,simulador_1!$H$16:$H$17,0))=FALSE,"C",IF(ISERROR(MATCH(D32,simulador_1!$H$18:$H$19,0))=FALSE,"D",""))</f>
        <v/>
      </c>
      <c r="F32" s="142">
        <f>IF(E32="C",0,IF(E32 ="D",ROUND(1/((1+simulador_1!$Q$13)^A32),9) * 2,ROUND(1/((1+simulador_1!$Q$13)^A32),9)))</f>
        <v>0.76571581</v>
      </c>
      <c r="G32" s="142">
        <f t="shared" si="4"/>
        <v>25.334955794999996</v>
      </c>
      <c r="H32" s="139">
        <f>+COUNTIF($E$4:E32,"C")</f>
        <v>0</v>
      </c>
    </row>
    <row r="33" spans="1:8" s="67" customFormat="1" x14ac:dyDescent="0.25">
      <c r="A33" s="139">
        <f t="shared" si="1"/>
        <v>30</v>
      </c>
      <c r="B33" s="139">
        <f t="shared" si="2"/>
        <v>30</v>
      </c>
      <c r="C33" s="141">
        <f t="shared" si="3"/>
        <v>45752</v>
      </c>
      <c r="D33" s="139">
        <f t="shared" si="0"/>
        <v>4</v>
      </c>
      <c r="E33" s="139" t="str">
        <f>IF(ISERROR(MATCH(D33,simulador_1!$H$16:$H$17,0))=FALSE,"C",IF(ISERROR(MATCH(D33,simulador_1!$H$18:$H$19,0))=FALSE,"D",""))</f>
        <v/>
      </c>
      <c r="F33" s="142">
        <f>IF(E33="C",0,IF(E33 ="D",ROUND(1/((1+simulador_1!$Q$13)^A33),9) * 2,ROUND(1/((1+simulador_1!$Q$13)^A33),9)))</f>
        <v>0.75869975899999997</v>
      </c>
      <c r="G33" s="142">
        <f t="shared" si="4"/>
        <v>26.093655553999994</v>
      </c>
      <c r="H33" s="139">
        <f>+COUNTIF($E$4:E33,"C")</f>
        <v>0</v>
      </c>
    </row>
    <row r="34" spans="1:8" x14ac:dyDescent="0.25">
      <c r="A34" s="139">
        <f t="shared" si="1"/>
        <v>31</v>
      </c>
      <c r="B34" s="139">
        <f t="shared" si="2"/>
        <v>31</v>
      </c>
      <c r="C34" s="141">
        <f t="shared" si="3"/>
        <v>45782</v>
      </c>
      <c r="D34" s="139">
        <f t="shared" si="0"/>
        <v>5</v>
      </c>
      <c r="E34" s="139" t="str">
        <f>IF(ISERROR(MATCH(D34,simulador_1!$H$16:$H$17,0))=FALSE,"C",IF(ISERROR(MATCH(D34,simulador_1!$H$18:$H$19,0))=FALSE,"D",""))</f>
        <v/>
      </c>
      <c r="F34" s="142">
        <f>IF(E34="C",0,IF(E34 ="D",ROUND(1/((1+simulador_1!$Q$13)^A34),9) * 2,ROUND(1/((1+simulador_1!$Q$13)^A34),9)))</f>
        <v>0.75174799299999995</v>
      </c>
      <c r="G34" s="142">
        <f t="shared" si="4"/>
        <v>26.845403546999993</v>
      </c>
      <c r="H34" s="139">
        <f>+COUNTIF($E$4:E34,"C")</f>
        <v>0</v>
      </c>
    </row>
    <row r="35" spans="1:8" x14ac:dyDescent="0.25">
      <c r="A35" s="139">
        <f t="shared" si="1"/>
        <v>32</v>
      </c>
      <c r="B35" s="139">
        <f t="shared" si="2"/>
        <v>32</v>
      </c>
      <c r="C35" s="141">
        <f t="shared" si="3"/>
        <v>45813</v>
      </c>
      <c r="D35" s="139">
        <f t="shared" si="0"/>
        <v>6</v>
      </c>
      <c r="E35" s="139" t="str">
        <f>IF(ISERROR(MATCH(D35,simulador_1!$H$16:$H$17,0))=FALSE,"C",IF(ISERROR(MATCH(D35,simulador_1!$H$18:$H$19,0))=FALSE,"D",""))</f>
        <v/>
      </c>
      <c r="F35" s="142">
        <f>IF(E35="C",0,IF(E35 ="D",ROUND(1/((1+simulador_1!$Q$13)^A35),9) * 2,ROUND(1/((1+simulador_1!$Q$13)^A35),9)))</f>
        <v>0.74485992499999998</v>
      </c>
      <c r="G35" s="142">
        <f t="shared" si="4"/>
        <v>27.590263471999993</v>
      </c>
      <c r="H35" s="139">
        <f>+COUNTIF($E$4:E35,"C")</f>
        <v>0</v>
      </c>
    </row>
    <row r="36" spans="1:8" x14ac:dyDescent="0.25">
      <c r="A36" s="139">
        <f t="shared" si="1"/>
        <v>33</v>
      </c>
      <c r="B36" s="139">
        <f t="shared" si="2"/>
        <v>33</v>
      </c>
      <c r="C36" s="141">
        <f t="shared" si="3"/>
        <v>45843</v>
      </c>
      <c r="D36" s="139">
        <f t="shared" si="0"/>
        <v>7</v>
      </c>
      <c r="E36" s="139" t="str">
        <f>IF(ISERROR(MATCH(D36,simulador_1!$H$16:$H$17,0))=FALSE,"C",IF(ISERROR(MATCH(D36,simulador_1!$H$18:$H$19,0))=FALSE,"D",""))</f>
        <v/>
      </c>
      <c r="F36" s="142">
        <f>IF(E36="C",0,IF(E36 ="D",ROUND(1/((1+simulador_1!$Q$13)^A36),9) * 2,ROUND(1/((1+simulador_1!$Q$13)^A36),9)))</f>
        <v>0.73803496999999996</v>
      </c>
      <c r="G36" s="142">
        <f t="shared" si="4"/>
        <v>28.328298441999994</v>
      </c>
      <c r="H36" s="139">
        <f>+COUNTIF($E$4:E36,"C")</f>
        <v>0</v>
      </c>
    </row>
    <row r="37" spans="1:8" x14ac:dyDescent="0.25">
      <c r="A37" s="139">
        <f t="shared" si="1"/>
        <v>34</v>
      </c>
      <c r="B37" s="139">
        <f t="shared" ref="B37:B68" si="5">IF(E37&lt;&gt;"C",IF(ISERROR(1+B36)=TRUE,1,1+B36),IF(ISNUMBER(B36),B36,1))</f>
        <v>34</v>
      </c>
      <c r="C37" s="141">
        <f t="shared" si="3"/>
        <v>45874</v>
      </c>
      <c r="D37" s="139">
        <f t="shared" si="0"/>
        <v>8</v>
      </c>
      <c r="E37" s="139" t="str">
        <f>IF(ISERROR(MATCH(D37,simulador_1!$H$16:$H$17,0))=FALSE,"C",IF(ISERROR(MATCH(D37,simulador_1!$H$18:$H$19,0))=FALSE,"D",""))</f>
        <v/>
      </c>
      <c r="F37" s="142">
        <f>IF(E37="C",0,IF(E37 ="D",ROUND(1/((1+simulador_1!$Q$13)^A37),9) * 2,ROUND(1/((1+simulador_1!$Q$13)^A37),9)))</f>
        <v>0.73127255099999999</v>
      </c>
      <c r="G37" s="142">
        <f t="shared" si="4"/>
        <v>29.059570992999994</v>
      </c>
      <c r="H37" s="139">
        <f>+COUNTIF($E$4:E37,"C")</f>
        <v>0</v>
      </c>
    </row>
    <row r="38" spans="1:8" x14ac:dyDescent="0.25">
      <c r="A38" s="139">
        <f t="shared" si="1"/>
        <v>35</v>
      </c>
      <c r="B38" s="139">
        <f t="shared" si="5"/>
        <v>35</v>
      </c>
      <c r="C38" s="141">
        <f t="shared" si="3"/>
        <v>45905</v>
      </c>
      <c r="D38" s="139">
        <f t="shared" si="0"/>
        <v>9</v>
      </c>
      <c r="E38" s="139" t="str">
        <f>IF(ISERROR(MATCH(D38,simulador_1!$H$16:$H$17,0))=FALSE,"C",IF(ISERROR(MATCH(D38,simulador_1!$H$18:$H$19,0))=FALSE,"D",""))</f>
        <v/>
      </c>
      <c r="F38" s="142">
        <f>IF(E38="C",0,IF(E38 ="D",ROUND(1/((1+simulador_1!$Q$13)^A38),9) * 2,ROUND(1/((1+simulador_1!$Q$13)^A38),9)))</f>
        <v>0.724572094</v>
      </c>
      <c r="G38" s="142">
        <f t="shared" si="4"/>
        <v>29.784143086999993</v>
      </c>
      <c r="H38" s="139">
        <f>+COUNTIF($E$4:E38,"C")</f>
        <v>0</v>
      </c>
    </row>
    <row r="39" spans="1:8" s="67" customFormat="1" x14ac:dyDescent="0.25">
      <c r="A39" s="139">
        <f t="shared" si="1"/>
        <v>36</v>
      </c>
      <c r="B39" s="139">
        <f t="shared" si="5"/>
        <v>36</v>
      </c>
      <c r="C39" s="141">
        <f t="shared" si="3"/>
        <v>45935</v>
      </c>
      <c r="D39" s="139">
        <f t="shared" si="0"/>
        <v>10</v>
      </c>
      <c r="E39" s="139" t="str">
        <f>IF(ISERROR(MATCH(D39,simulador_1!$H$16:$H$17,0))=FALSE,"C",IF(ISERROR(MATCH(D39,simulador_1!$H$18:$H$19,0))=FALSE,"D",""))</f>
        <v/>
      </c>
      <c r="F39" s="142">
        <f>IF(E39="C",0,IF(E39 ="D",ROUND(1/((1+simulador_1!$Q$13)^A39),9) * 2,ROUND(1/((1+simulador_1!$Q$13)^A39),9)))</f>
        <v>0.71793303100000005</v>
      </c>
      <c r="G39" s="142">
        <f t="shared" si="4"/>
        <v>30.502076117999994</v>
      </c>
      <c r="H39" s="139">
        <f>+COUNTIF($E$4:E39,"C")</f>
        <v>0</v>
      </c>
    </row>
    <row r="40" spans="1:8" x14ac:dyDescent="0.25">
      <c r="A40" s="139">
        <f t="shared" si="1"/>
        <v>37</v>
      </c>
      <c r="B40" s="139">
        <f t="shared" si="5"/>
        <v>37</v>
      </c>
      <c r="C40" s="141">
        <f t="shared" si="3"/>
        <v>45966</v>
      </c>
      <c r="D40" s="139">
        <f t="shared" si="0"/>
        <v>11</v>
      </c>
      <c r="E40" s="139" t="str">
        <f>IF(ISERROR(MATCH(D40,simulador_1!$H$16:$H$17,0))=FALSE,"C",IF(ISERROR(MATCH(D40,simulador_1!$H$18:$H$19,0))=FALSE,"D",""))</f>
        <v/>
      </c>
      <c r="F40" s="142">
        <f>IF(E40="C",0,IF(E40 ="D",ROUND(1/((1+simulador_1!$Q$13)^A40),9) * 2,ROUND(1/((1+simulador_1!$Q$13)^A40),9)))</f>
        <v>0.71135480100000004</v>
      </c>
      <c r="G40" s="142">
        <f t="shared" si="4"/>
        <v>31.213430918999993</v>
      </c>
      <c r="H40" s="139">
        <f>+COUNTIF($E$4:E40,"C")</f>
        <v>0</v>
      </c>
    </row>
    <row r="41" spans="1:8" x14ac:dyDescent="0.25">
      <c r="A41" s="139">
        <f t="shared" si="1"/>
        <v>38</v>
      </c>
      <c r="B41" s="139">
        <f t="shared" si="5"/>
        <v>38</v>
      </c>
      <c r="C41" s="141">
        <f t="shared" si="3"/>
        <v>45996</v>
      </c>
      <c r="D41" s="139">
        <f t="shared" si="0"/>
        <v>12</v>
      </c>
      <c r="E41" s="139" t="str">
        <f>IF(ISERROR(MATCH(D41,simulador_1!$H$16:$H$17,0))=FALSE,"C",IF(ISERROR(MATCH(D41,simulador_1!$H$18:$H$19,0))=FALSE,"D",""))</f>
        <v/>
      </c>
      <c r="F41" s="142">
        <f>IF(E41="C",0,IF(E41 ="D",ROUND(1/((1+simulador_1!$Q$13)^A41),9) * 2,ROUND(1/((1+simulador_1!$Q$13)^A41),9)))</f>
        <v>0.70483684499999999</v>
      </c>
      <c r="G41" s="142">
        <f t="shared" si="4"/>
        <v>31.918267763999992</v>
      </c>
      <c r="H41" s="139">
        <f>+COUNTIF($E$4:E41,"C")</f>
        <v>0</v>
      </c>
    </row>
    <row r="42" spans="1:8" x14ac:dyDescent="0.25">
      <c r="A42" s="139">
        <f t="shared" si="1"/>
        <v>39</v>
      </c>
      <c r="B42" s="139">
        <f t="shared" si="5"/>
        <v>39</v>
      </c>
      <c r="C42" s="141">
        <f t="shared" si="3"/>
        <v>46027</v>
      </c>
      <c r="D42" s="139">
        <f t="shared" si="0"/>
        <v>1</v>
      </c>
      <c r="E42" s="139" t="str">
        <f>IF(ISERROR(MATCH(D42,simulador_1!$H$16:$H$17,0))=FALSE,"C",IF(ISERROR(MATCH(D42,simulador_1!$H$18:$H$19,0))=FALSE,"D",""))</f>
        <v/>
      </c>
      <c r="F42" s="142">
        <f>IF(E42="C",0,IF(E42 ="D",ROUND(1/((1+simulador_1!$Q$13)^A42),9) * 2,ROUND(1/((1+simulador_1!$Q$13)^A42),9)))</f>
        <v>0.69837861099999998</v>
      </c>
      <c r="G42" s="142">
        <f t="shared" si="4"/>
        <v>32.616646374999995</v>
      </c>
      <c r="H42" s="139">
        <f>+COUNTIF($E$4:E42,"C")</f>
        <v>0</v>
      </c>
    </row>
    <row r="43" spans="1:8" x14ac:dyDescent="0.25">
      <c r="A43" s="139">
        <f t="shared" si="1"/>
        <v>40</v>
      </c>
      <c r="B43" s="139">
        <f t="shared" si="5"/>
        <v>40</v>
      </c>
      <c r="C43" s="141">
        <f t="shared" si="3"/>
        <v>46058</v>
      </c>
      <c r="D43" s="139">
        <f t="shared" si="0"/>
        <v>2</v>
      </c>
      <c r="E43" s="139" t="str">
        <f>IF(ISERROR(MATCH(D43,simulador_1!$H$16:$H$17,0))=FALSE,"C",IF(ISERROR(MATCH(D43,simulador_1!$H$18:$H$19,0))=FALSE,"D",""))</f>
        <v/>
      </c>
      <c r="F43" s="142">
        <f>IF(E43="C",0,IF(E43 ="D",ROUND(1/((1+simulador_1!$Q$13)^A43),9) * 2,ROUND(1/((1+simulador_1!$Q$13)^A43),9)))</f>
        <v>0.69197955200000005</v>
      </c>
      <c r="G43" s="142">
        <f t="shared" si="4"/>
        <v>33.308625926999994</v>
      </c>
      <c r="H43" s="139">
        <f>+COUNTIF($E$4:E43,"C")</f>
        <v>0</v>
      </c>
    </row>
    <row r="44" spans="1:8" x14ac:dyDescent="0.25">
      <c r="A44" s="139">
        <f t="shared" si="1"/>
        <v>41</v>
      </c>
      <c r="B44" s="139">
        <f t="shared" si="5"/>
        <v>41</v>
      </c>
      <c r="C44" s="141">
        <f t="shared" si="3"/>
        <v>46086</v>
      </c>
      <c r="D44" s="139">
        <f t="shared" si="0"/>
        <v>3</v>
      </c>
      <c r="E44" s="139" t="str">
        <f>IF(ISERROR(MATCH(D44,simulador_1!$H$16:$H$17,0))=FALSE,"C",IF(ISERROR(MATCH(D44,simulador_1!$H$18:$H$19,0))=FALSE,"D",""))</f>
        <v/>
      </c>
      <c r="F44" s="142">
        <f>IF(E44="C",0,IF(E44 ="D",ROUND(1/((1+simulador_1!$Q$13)^A44),9) * 2,ROUND(1/((1+simulador_1!$Q$13)^A44),9)))</f>
        <v>0.68563912599999999</v>
      </c>
      <c r="G44" s="142">
        <f t="shared" si="4"/>
        <v>33.994265052999992</v>
      </c>
      <c r="H44" s="139">
        <f>+COUNTIF($E$4:E44,"C")</f>
        <v>0</v>
      </c>
    </row>
    <row r="45" spans="1:8" x14ac:dyDescent="0.25">
      <c r="A45" s="139">
        <f t="shared" si="1"/>
        <v>42</v>
      </c>
      <c r="B45" s="139">
        <f t="shared" si="5"/>
        <v>42</v>
      </c>
      <c r="C45" s="141">
        <f t="shared" si="3"/>
        <v>46117</v>
      </c>
      <c r="D45" s="139">
        <f t="shared" si="0"/>
        <v>4</v>
      </c>
      <c r="E45" s="139" t="str">
        <f>IF(ISERROR(MATCH(D45,simulador_1!$H$16:$H$17,0))=FALSE,"C",IF(ISERROR(MATCH(D45,simulador_1!$H$18:$H$19,0))=FALSE,"D",""))</f>
        <v/>
      </c>
      <c r="F45" s="142">
        <f>IF(E45="C",0,IF(E45 ="D",ROUND(1/((1+simulador_1!$Q$13)^A45),9) * 2,ROUND(1/((1+simulador_1!$Q$13)^A45),9)))</f>
        <v>0.67935679599999999</v>
      </c>
      <c r="G45" s="142">
        <f t="shared" si="4"/>
        <v>34.673621848999993</v>
      </c>
      <c r="H45" s="139">
        <f>+COUNTIF($E$4:E45,"C")</f>
        <v>0</v>
      </c>
    </row>
    <row r="46" spans="1:8" x14ac:dyDescent="0.25">
      <c r="A46" s="139">
        <f t="shared" si="1"/>
        <v>43</v>
      </c>
      <c r="B46" s="139">
        <f t="shared" si="5"/>
        <v>43</v>
      </c>
      <c r="C46" s="141">
        <f t="shared" si="3"/>
        <v>46147</v>
      </c>
      <c r="D46" s="139">
        <f t="shared" si="0"/>
        <v>5</v>
      </c>
      <c r="E46" s="139" t="str">
        <f>IF(ISERROR(MATCH(D46,simulador_1!$H$16:$H$17,0))=FALSE,"C",IF(ISERROR(MATCH(D46,simulador_1!$H$18:$H$19,0))=FALSE,"D",""))</f>
        <v/>
      </c>
      <c r="F46" s="142">
        <f>IF(E46="C",0,IF(E46 ="D",ROUND(1/((1+simulador_1!$Q$13)^A46),9) * 2,ROUND(1/((1+simulador_1!$Q$13)^A46),9)))</f>
        <v>0.67313202900000002</v>
      </c>
      <c r="G46" s="142">
        <f t="shared" si="4"/>
        <v>35.346753877999994</v>
      </c>
      <c r="H46" s="139">
        <f>+COUNTIF($E$4:E46,"C")</f>
        <v>0</v>
      </c>
    </row>
    <row r="47" spans="1:8" x14ac:dyDescent="0.25">
      <c r="A47" s="139">
        <f t="shared" si="1"/>
        <v>44</v>
      </c>
      <c r="B47" s="139">
        <f t="shared" si="5"/>
        <v>44</v>
      </c>
      <c r="C47" s="141">
        <f t="shared" si="3"/>
        <v>46178</v>
      </c>
      <c r="D47" s="139">
        <f t="shared" si="0"/>
        <v>6</v>
      </c>
      <c r="E47" s="139" t="str">
        <f>IF(ISERROR(MATCH(D47,simulador_1!$H$16:$H$17,0))=FALSE,"C",IF(ISERROR(MATCH(D47,simulador_1!$H$18:$H$19,0))=FALSE,"D",""))</f>
        <v/>
      </c>
      <c r="F47" s="142">
        <f>IF(E47="C",0,IF(E47 ="D",ROUND(1/((1+simulador_1!$Q$13)^A47),9) * 2,ROUND(1/((1+simulador_1!$Q$13)^A47),9)))</f>
        <v>0.66696429800000001</v>
      </c>
      <c r="G47" s="142">
        <f t="shared" si="4"/>
        <v>36.013718175999998</v>
      </c>
      <c r="H47" s="139">
        <f>+COUNTIF($E$4:E47,"C")</f>
        <v>0</v>
      </c>
    </row>
    <row r="48" spans="1:8" x14ac:dyDescent="0.25">
      <c r="A48" s="139">
        <f t="shared" si="1"/>
        <v>45</v>
      </c>
      <c r="B48" s="139">
        <f t="shared" si="5"/>
        <v>45</v>
      </c>
      <c r="C48" s="141">
        <f t="shared" si="3"/>
        <v>46208</v>
      </c>
      <c r="D48" s="139">
        <f t="shared" si="0"/>
        <v>7</v>
      </c>
      <c r="E48" s="139" t="str">
        <f>IF(ISERROR(MATCH(D48,simulador_1!$H$16:$H$17,0))=FALSE,"C",IF(ISERROR(MATCH(D48,simulador_1!$H$18:$H$19,0))=FALSE,"D",""))</f>
        <v/>
      </c>
      <c r="F48" s="142">
        <f>IF(E48="C",0,IF(E48 ="D",ROUND(1/((1+simulador_1!$Q$13)^A48),9) * 2,ROUND(1/((1+simulador_1!$Q$13)^A48),9)))</f>
        <v>0.66085308099999995</v>
      </c>
      <c r="G48" s="142">
        <f t="shared" si="4"/>
        <v>36.674571256999997</v>
      </c>
      <c r="H48" s="139">
        <f>+COUNTIF($E$4:E48,"C")</f>
        <v>0</v>
      </c>
    </row>
    <row r="49" spans="1:8" x14ac:dyDescent="0.25">
      <c r="A49" s="139">
        <f t="shared" si="1"/>
        <v>46</v>
      </c>
      <c r="B49" s="139">
        <f t="shared" si="5"/>
        <v>46</v>
      </c>
      <c r="C49" s="141">
        <f t="shared" si="3"/>
        <v>46239</v>
      </c>
      <c r="D49" s="139">
        <f t="shared" si="0"/>
        <v>8</v>
      </c>
      <c r="E49" s="139" t="str">
        <f>IF(ISERROR(MATCH(D49,simulador_1!$H$16:$H$17,0))=FALSE,"C",IF(ISERROR(MATCH(D49,simulador_1!$H$18:$H$19,0))=FALSE,"D",""))</f>
        <v/>
      </c>
      <c r="F49" s="142">
        <f>IF(E49="C",0,IF(E49 ="D",ROUND(1/((1+simulador_1!$Q$13)^A49),9) * 2,ROUND(1/((1+simulador_1!$Q$13)^A49),9)))</f>
        <v>0.65479785899999998</v>
      </c>
      <c r="G49" s="142">
        <f t="shared" si="4"/>
        <v>37.329369115999995</v>
      </c>
      <c r="H49" s="139">
        <f>+COUNTIF($E$4:E49,"C")</f>
        <v>0</v>
      </c>
    </row>
    <row r="50" spans="1:8" x14ac:dyDescent="0.25">
      <c r="A50" s="139">
        <f t="shared" si="1"/>
        <v>47</v>
      </c>
      <c r="B50" s="139">
        <f t="shared" si="5"/>
        <v>47</v>
      </c>
      <c r="C50" s="141">
        <f t="shared" si="3"/>
        <v>46270</v>
      </c>
      <c r="D50" s="139">
        <f t="shared" si="0"/>
        <v>9</v>
      </c>
      <c r="E50" s="139" t="str">
        <f>IF(ISERROR(MATCH(D50,simulador_1!$H$16:$H$17,0))=FALSE,"C",IF(ISERROR(MATCH(D50,simulador_1!$H$18:$H$19,0))=FALSE,"D",""))</f>
        <v/>
      </c>
      <c r="F50" s="142">
        <f>IF(E50="C",0,IF(E50 ="D",ROUND(1/((1+simulador_1!$Q$13)^A50),9) * 2,ROUND(1/((1+simulador_1!$Q$13)^A50),9)))</f>
        <v>0.64879811899999995</v>
      </c>
      <c r="G50" s="142">
        <f t="shared" si="4"/>
        <v>37.978167234999994</v>
      </c>
      <c r="H50" s="139">
        <f>+COUNTIF($E$4:E50,"C")</f>
        <v>0</v>
      </c>
    </row>
    <row r="51" spans="1:8" x14ac:dyDescent="0.25">
      <c r="A51" s="139">
        <f t="shared" si="1"/>
        <v>48</v>
      </c>
      <c r="B51" s="139">
        <f t="shared" si="5"/>
        <v>48</v>
      </c>
      <c r="C51" s="141">
        <f t="shared" si="3"/>
        <v>46300</v>
      </c>
      <c r="D51" s="139">
        <f t="shared" si="0"/>
        <v>10</v>
      </c>
      <c r="E51" s="139" t="str">
        <f>IF(ISERROR(MATCH(D51,simulador_1!$H$16:$H$17,0))=FALSE,"C",IF(ISERROR(MATCH(D51,simulador_1!$H$18:$H$19,0))=FALSE,"D",""))</f>
        <v/>
      </c>
      <c r="F51" s="142">
        <f>IF(E51="C",0,IF(E51 ="D",ROUND(1/((1+simulador_1!$Q$13)^A51),9) * 2,ROUND(1/((1+simulador_1!$Q$13)^A51),9)))</f>
        <v>0.64285335300000002</v>
      </c>
      <c r="G51" s="142">
        <f t="shared" si="4"/>
        <v>38.621020587999993</v>
      </c>
      <c r="H51" s="139">
        <f>+COUNTIF($E$4:E51,"C")</f>
        <v>0</v>
      </c>
    </row>
    <row r="52" spans="1:8" x14ac:dyDescent="0.25">
      <c r="A52" s="139">
        <f t="shared" si="1"/>
        <v>49</v>
      </c>
      <c r="B52" s="139">
        <f t="shared" si="5"/>
        <v>49</v>
      </c>
      <c r="C52" s="141">
        <f t="shared" si="3"/>
        <v>46331</v>
      </c>
      <c r="D52" s="139">
        <f t="shared" si="0"/>
        <v>11</v>
      </c>
      <c r="E52" s="139" t="str">
        <f>IF(ISERROR(MATCH(D52,simulador_1!$H$16:$H$17,0))=FALSE,"C",IF(ISERROR(MATCH(D52,simulador_1!$H$18:$H$19,0))=FALSE,"D",""))</f>
        <v/>
      </c>
      <c r="F52" s="142">
        <f>IF(E52="C",0,IF(E52 ="D",ROUND(1/((1+simulador_1!$Q$13)^A52),9) * 2,ROUND(1/((1+simulador_1!$Q$13)^A52),9)))</f>
        <v>0.63696305799999997</v>
      </c>
      <c r="G52" s="142">
        <f t="shared" si="4"/>
        <v>39.257983645999992</v>
      </c>
      <c r="H52" s="139">
        <f>+COUNTIF($E$4:E52,"C")</f>
        <v>0</v>
      </c>
    </row>
    <row r="53" spans="1:8" x14ac:dyDescent="0.25">
      <c r="A53" s="139">
        <f t="shared" si="1"/>
        <v>50</v>
      </c>
      <c r="B53" s="139">
        <f t="shared" si="5"/>
        <v>50</v>
      </c>
      <c r="C53" s="141">
        <f t="shared" si="3"/>
        <v>46361</v>
      </c>
      <c r="D53" s="139">
        <f t="shared" si="0"/>
        <v>12</v>
      </c>
      <c r="E53" s="139" t="str">
        <f>IF(ISERROR(MATCH(D53,simulador_1!$H$16:$H$17,0))=FALSE,"C",IF(ISERROR(MATCH(D53,simulador_1!$H$18:$H$19,0))=FALSE,"D",""))</f>
        <v/>
      </c>
      <c r="F53" s="142">
        <f>IF(E53="C",0,IF(E53 ="D",ROUND(1/((1+simulador_1!$Q$13)^A53),9) * 2,ROUND(1/((1+simulador_1!$Q$13)^A53),9)))</f>
        <v>0.63112673399999997</v>
      </c>
      <c r="G53" s="142">
        <f t="shared" si="4"/>
        <v>39.889110379999991</v>
      </c>
      <c r="H53" s="139">
        <f>+COUNTIF($E$4:E53,"C")</f>
        <v>0</v>
      </c>
    </row>
    <row r="54" spans="1:8" x14ac:dyDescent="0.25">
      <c r="A54" s="139">
        <f t="shared" si="1"/>
        <v>51</v>
      </c>
      <c r="B54" s="139">
        <f t="shared" si="5"/>
        <v>51</v>
      </c>
      <c r="C54" s="141">
        <f t="shared" si="3"/>
        <v>46392</v>
      </c>
      <c r="D54" s="139">
        <f t="shared" si="0"/>
        <v>1</v>
      </c>
      <c r="E54" s="139" t="str">
        <f>IF(ISERROR(MATCH(D54,simulador_1!$H$16:$H$17,0))=FALSE,"C",IF(ISERROR(MATCH(D54,simulador_1!$H$18:$H$19,0))=FALSE,"D",""))</f>
        <v/>
      </c>
      <c r="F54" s="142">
        <f>IF(E54="C",0,IF(E54 ="D",ROUND(1/((1+simulador_1!$Q$13)^A54),9) * 2,ROUND(1/((1+simulador_1!$Q$13)^A54),9)))</f>
        <v>0.62534388600000002</v>
      </c>
      <c r="G54" s="142">
        <f t="shared" si="4"/>
        <v>40.514454265999994</v>
      </c>
      <c r="H54" s="139">
        <f>+COUNTIF($E$4:E54,"C")</f>
        <v>0</v>
      </c>
    </row>
    <row r="55" spans="1:8" x14ac:dyDescent="0.25">
      <c r="A55" s="139">
        <f t="shared" si="1"/>
        <v>52</v>
      </c>
      <c r="B55" s="139">
        <f t="shared" si="5"/>
        <v>52</v>
      </c>
      <c r="C55" s="141">
        <f t="shared" si="3"/>
        <v>46423</v>
      </c>
      <c r="D55" s="139">
        <f t="shared" si="0"/>
        <v>2</v>
      </c>
      <c r="E55" s="139" t="str">
        <f>IF(ISERROR(MATCH(D55,simulador_1!$H$16:$H$17,0))=FALSE,"C",IF(ISERROR(MATCH(D55,simulador_1!$H$18:$H$19,0))=FALSE,"D",""))</f>
        <v/>
      </c>
      <c r="F55" s="142">
        <f>IF(E55="C",0,IF(E55 ="D",ROUND(1/((1+simulador_1!$Q$13)^A55),9) * 2,ROUND(1/((1+simulador_1!$Q$13)^A55),9)))</f>
        <v>0.61961402499999996</v>
      </c>
      <c r="G55" s="142">
        <f t="shared" si="4"/>
        <v>41.134068290999991</v>
      </c>
      <c r="H55" s="139">
        <f>+COUNTIF($E$4:E55,"C")</f>
        <v>0</v>
      </c>
    </row>
    <row r="56" spans="1:8" x14ac:dyDescent="0.25">
      <c r="A56" s="139">
        <f t="shared" si="1"/>
        <v>53</v>
      </c>
      <c r="B56" s="139">
        <f t="shared" si="5"/>
        <v>53</v>
      </c>
      <c r="C56" s="141">
        <f t="shared" si="3"/>
        <v>46451</v>
      </c>
      <c r="D56" s="139">
        <f t="shared" si="0"/>
        <v>3</v>
      </c>
      <c r="E56" s="139" t="str">
        <f>IF(ISERROR(MATCH(D56,simulador_1!$H$16:$H$17,0))=FALSE,"C",IF(ISERROR(MATCH(D56,simulador_1!$H$18:$H$19,0))=FALSE,"D",""))</f>
        <v/>
      </c>
      <c r="F56" s="142">
        <f>IF(E56="C",0,IF(E56 ="D",ROUND(1/((1+simulador_1!$Q$13)^A56),9) * 2,ROUND(1/((1+simulador_1!$Q$13)^A56),9)))</f>
        <v>0.61393666599999996</v>
      </c>
      <c r="G56" s="142">
        <f t="shared" si="4"/>
        <v>41.748004956999992</v>
      </c>
      <c r="H56" s="139">
        <f>+COUNTIF($E$4:E56,"C")</f>
        <v>0</v>
      </c>
    </row>
    <row r="57" spans="1:8" x14ac:dyDescent="0.25">
      <c r="A57" s="139">
        <f t="shared" si="1"/>
        <v>54</v>
      </c>
      <c r="B57" s="139">
        <f t="shared" si="5"/>
        <v>54</v>
      </c>
      <c r="C57" s="141">
        <f t="shared" si="3"/>
        <v>46482</v>
      </c>
      <c r="D57" s="139">
        <f t="shared" si="0"/>
        <v>4</v>
      </c>
      <c r="E57" s="139" t="str">
        <f>IF(ISERROR(MATCH(D57,simulador_1!$H$16:$H$17,0))=FALSE,"C",IF(ISERROR(MATCH(D57,simulador_1!$H$18:$H$19,0))=FALSE,"D",""))</f>
        <v/>
      </c>
      <c r="F57" s="142">
        <f>IF(E57="C",0,IF(E57 ="D",ROUND(1/((1+simulador_1!$Q$13)^A57),9) * 2,ROUND(1/((1+simulador_1!$Q$13)^A57),9)))</f>
        <v>0.60831132600000004</v>
      </c>
      <c r="G57" s="142">
        <f t="shared" si="4"/>
        <v>42.356316282999991</v>
      </c>
      <c r="H57" s="139">
        <f>+COUNTIF($E$4:E57,"C")</f>
        <v>0</v>
      </c>
    </row>
    <row r="58" spans="1:8" x14ac:dyDescent="0.25">
      <c r="A58" s="139">
        <f t="shared" si="1"/>
        <v>55</v>
      </c>
      <c r="B58" s="139">
        <f t="shared" si="5"/>
        <v>55</v>
      </c>
      <c r="C58" s="141">
        <f t="shared" si="3"/>
        <v>46512</v>
      </c>
      <c r="D58" s="139">
        <f t="shared" si="0"/>
        <v>5</v>
      </c>
      <c r="E58" s="139" t="str">
        <f>IF(ISERROR(MATCH(D58,simulador_1!$H$16:$H$17,0))=FALSE,"C",IF(ISERROR(MATCH(D58,simulador_1!$H$18:$H$19,0))=FALSE,"D",""))</f>
        <v/>
      </c>
      <c r="F58" s="142">
        <f>IF(E58="C",0,IF(E58 ="D",ROUND(1/((1+simulador_1!$Q$13)^A58),9) * 2,ROUND(1/((1+simulador_1!$Q$13)^A58),9)))</f>
        <v>0.60273752999999997</v>
      </c>
      <c r="G58" s="142">
        <f t="shared" si="4"/>
        <v>42.95905381299999</v>
      </c>
      <c r="H58" s="139">
        <f>+COUNTIF($E$4:E58,"C")</f>
        <v>0</v>
      </c>
    </row>
    <row r="59" spans="1:8" x14ac:dyDescent="0.25">
      <c r="A59" s="139">
        <f t="shared" si="1"/>
        <v>56</v>
      </c>
      <c r="B59" s="139">
        <f t="shared" si="5"/>
        <v>56</v>
      </c>
      <c r="C59" s="141">
        <f t="shared" si="3"/>
        <v>46543</v>
      </c>
      <c r="D59" s="139">
        <f t="shared" si="0"/>
        <v>6</v>
      </c>
      <c r="E59" s="139" t="str">
        <f>IF(ISERROR(MATCH(D59,simulador_1!$H$16:$H$17,0))=FALSE,"C",IF(ISERROR(MATCH(D59,simulador_1!$H$18:$H$19,0))=FALSE,"D",""))</f>
        <v/>
      </c>
      <c r="F59" s="142">
        <f>IF(E59="C",0,IF(E59 ="D",ROUND(1/((1+simulador_1!$Q$13)^A59),9) * 2,ROUND(1/((1+simulador_1!$Q$13)^A59),9)))</f>
        <v>0.59721480599999999</v>
      </c>
      <c r="G59" s="142">
        <f t="shared" si="4"/>
        <v>43.556268618999987</v>
      </c>
      <c r="H59" s="139">
        <f>+COUNTIF($E$4:E59,"C")</f>
        <v>0</v>
      </c>
    </row>
    <row r="60" spans="1:8" x14ac:dyDescent="0.25">
      <c r="A60" s="139">
        <f t="shared" si="1"/>
        <v>57</v>
      </c>
      <c r="B60" s="139">
        <f t="shared" si="5"/>
        <v>57</v>
      </c>
      <c r="C60" s="141">
        <f t="shared" si="3"/>
        <v>46573</v>
      </c>
      <c r="D60" s="139">
        <f t="shared" si="0"/>
        <v>7</v>
      </c>
      <c r="E60" s="139" t="str">
        <f>IF(ISERROR(MATCH(D60,simulador_1!$H$16:$H$17,0))=FALSE,"C",IF(ISERROR(MATCH(D60,simulador_1!$H$18:$H$19,0))=FALSE,"D",""))</f>
        <v/>
      </c>
      <c r="F60" s="142">
        <f>IF(E60="C",0,IF(E60 ="D",ROUND(1/((1+simulador_1!$Q$13)^A60),9) * 2,ROUND(1/((1+simulador_1!$Q$13)^A60),9)))</f>
        <v>0.59174268399999996</v>
      </c>
      <c r="G60" s="142">
        <f t="shared" si="4"/>
        <v>44.14801130299999</v>
      </c>
      <c r="H60" s="139">
        <f>+COUNTIF($E$4:E60,"C")</f>
        <v>0</v>
      </c>
    </row>
    <row r="61" spans="1:8" x14ac:dyDescent="0.25">
      <c r="A61" s="139">
        <f t="shared" si="1"/>
        <v>58</v>
      </c>
      <c r="B61" s="139">
        <f t="shared" si="5"/>
        <v>58</v>
      </c>
      <c r="C61" s="141">
        <f t="shared" si="3"/>
        <v>46604</v>
      </c>
      <c r="D61" s="139">
        <f t="shared" si="0"/>
        <v>8</v>
      </c>
      <c r="E61" s="139" t="str">
        <f>IF(ISERROR(MATCH(D61,simulador_1!$H$16:$H$17,0))=FALSE,"C",IF(ISERROR(MATCH(D61,simulador_1!$H$18:$H$19,0))=FALSE,"D",""))</f>
        <v/>
      </c>
      <c r="F61" s="142">
        <f>IF(E61="C",0,IF(E61 ="D",ROUND(1/((1+simulador_1!$Q$13)^A61),9) * 2,ROUND(1/((1+simulador_1!$Q$13)^A61),9)))</f>
        <v>0.58632070199999997</v>
      </c>
      <c r="G61" s="142">
        <f t="shared" si="4"/>
        <v>44.734332004999992</v>
      </c>
      <c r="H61" s="139">
        <f>+COUNTIF($E$4:E61,"C")</f>
        <v>0</v>
      </c>
    </row>
    <row r="62" spans="1:8" x14ac:dyDescent="0.25">
      <c r="A62" s="139">
        <f t="shared" si="1"/>
        <v>59</v>
      </c>
      <c r="B62" s="139">
        <f t="shared" si="5"/>
        <v>59</v>
      </c>
      <c r="C62" s="141">
        <f t="shared" si="3"/>
        <v>46635</v>
      </c>
      <c r="D62" s="139">
        <f t="shared" si="0"/>
        <v>9</v>
      </c>
      <c r="E62" s="139" t="str">
        <f>IF(ISERROR(MATCH(D62,simulador_1!$H$16:$H$17,0))=FALSE,"C",IF(ISERROR(MATCH(D62,simulador_1!$H$18:$H$19,0))=FALSE,"D",""))</f>
        <v/>
      </c>
      <c r="F62" s="142">
        <f>IF(E62="C",0,IF(E62 ="D",ROUND(1/((1+simulador_1!$Q$13)^A62),9) * 2,ROUND(1/((1+simulador_1!$Q$13)^A62),9)))</f>
        <v>0.580948401</v>
      </c>
      <c r="G62" s="142">
        <f t="shared" si="4"/>
        <v>45.315280405999992</v>
      </c>
      <c r="H62" s="139">
        <f>+COUNTIF($E$4:E62,"C")</f>
        <v>0</v>
      </c>
    </row>
    <row r="63" spans="1:8" x14ac:dyDescent="0.25">
      <c r="A63" s="139">
        <f t="shared" si="1"/>
        <v>60</v>
      </c>
      <c r="B63" s="139">
        <f t="shared" si="5"/>
        <v>60</v>
      </c>
      <c r="C63" s="141">
        <f t="shared" si="3"/>
        <v>46665</v>
      </c>
      <c r="D63" s="139">
        <f t="shared" si="0"/>
        <v>10</v>
      </c>
      <c r="E63" s="139" t="str">
        <f>IF(ISERROR(MATCH(D63,simulador_1!$H$16:$H$17,0))=FALSE,"C",IF(ISERROR(MATCH(D63,simulador_1!$H$18:$H$19,0))=FALSE,"D",""))</f>
        <v/>
      </c>
      <c r="F63" s="142">
        <f>IF(E63="C",0,IF(E63 ="D",ROUND(1/((1+simulador_1!$Q$13)^A63),9) * 2,ROUND(1/((1+simulador_1!$Q$13)^A63),9)))</f>
        <v>0.57562532399999999</v>
      </c>
      <c r="G63" s="142">
        <f t="shared" si="4"/>
        <v>45.890905729999993</v>
      </c>
      <c r="H63" s="139">
        <f>+COUNTIF($E$4:E63,"C")</f>
        <v>0</v>
      </c>
    </row>
    <row r="64" spans="1:8" x14ac:dyDescent="0.25">
      <c r="A64" s="139">
        <f t="shared" si="1"/>
        <v>61</v>
      </c>
      <c r="B64" s="139">
        <f t="shared" si="5"/>
        <v>61</v>
      </c>
      <c r="C64" s="141">
        <f t="shared" si="3"/>
        <v>46696</v>
      </c>
      <c r="D64" s="139">
        <f t="shared" si="0"/>
        <v>11</v>
      </c>
      <c r="E64" s="139" t="str">
        <f>IF(ISERROR(MATCH(D64,simulador_1!$H$16:$H$17,0))=FALSE,"C",IF(ISERROR(MATCH(D64,simulador_1!$H$18:$H$19,0))=FALSE,"D",""))</f>
        <v/>
      </c>
      <c r="F64" s="142">
        <f>IF(E64="C",0,IF(E64 ="D",ROUND(1/((1+simulador_1!$Q$13)^A64),9) * 2,ROUND(1/((1+simulador_1!$Q$13)^A64),9)))</f>
        <v>0.57035102100000001</v>
      </c>
      <c r="G64" s="142">
        <f t="shared" si="4"/>
        <v>46.461256750999993</v>
      </c>
      <c r="H64" s="139">
        <f>+COUNTIF($E$4:E64,"C")</f>
        <v>0</v>
      </c>
    </row>
    <row r="65" spans="1:8" x14ac:dyDescent="0.25">
      <c r="A65" s="139">
        <f t="shared" si="1"/>
        <v>62</v>
      </c>
      <c r="B65" s="139">
        <f t="shared" si="5"/>
        <v>62</v>
      </c>
      <c r="C65" s="141">
        <f t="shared" si="3"/>
        <v>46726</v>
      </c>
      <c r="D65" s="139">
        <f t="shared" si="0"/>
        <v>12</v>
      </c>
      <c r="E65" s="139" t="str">
        <f>IF(ISERROR(MATCH(D65,simulador_1!$H$16:$H$17,0))=FALSE,"C",IF(ISERROR(MATCH(D65,simulador_1!$H$18:$H$19,0))=FALSE,"D",""))</f>
        <v/>
      </c>
      <c r="F65" s="142">
        <f>IF(E65="C",0,IF(E65 ="D",ROUND(1/((1+simulador_1!$Q$13)^A65),9) * 2,ROUND(1/((1+simulador_1!$Q$13)^A65),9)))</f>
        <v>0.56512504600000002</v>
      </c>
      <c r="G65" s="142">
        <f t="shared" si="4"/>
        <v>47.026381796999992</v>
      </c>
      <c r="H65" s="139">
        <f>+COUNTIF($E$4:E65,"C")</f>
        <v>0</v>
      </c>
    </row>
    <row r="66" spans="1:8" x14ac:dyDescent="0.25">
      <c r="A66" s="139">
        <f t="shared" si="1"/>
        <v>63</v>
      </c>
      <c r="B66" s="139">
        <f t="shared" si="5"/>
        <v>63</v>
      </c>
      <c r="C66" s="141">
        <f t="shared" si="3"/>
        <v>46757</v>
      </c>
      <c r="D66" s="139">
        <f t="shared" si="0"/>
        <v>1</v>
      </c>
      <c r="E66" s="139" t="str">
        <f>IF(ISERROR(MATCH(D66,simulador_1!$H$16:$H$17,0))=FALSE,"C",IF(ISERROR(MATCH(D66,simulador_1!$H$18:$H$19,0))=FALSE,"D",""))</f>
        <v/>
      </c>
      <c r="F66" s="142">
        <f>IF(E66="C",0,IF(E66 ="D",ROUND(1/((1+simulador_1!$Q$13)^A66),9) * 2,ROUND(1/((1+simulador_1!$Q$13)^A66),9)))</f>
        <v>0.55994695400000005</v>
      </c>
      <c r="G66" s="142">
        <f t="shared" si="4"/>
        <v>47.586328750999989</v>
      </c>
      <c r="H66" s="139">
        <f>+COUNTIF($E$4:E66,"C")</f>
        <v>0</v>
      </c>
    </row>
    <row r="67" spans="1:8" x14ac:dyDescent="0.25">
      <c r="A67" s="139">
        <f t="shared" si="1"/>
        <v>64</v>
      </c>
      <c r="B67" s="139">
        <f t="shared" si="5"/>
        <v>64</v>
      </c>
      <c r="C67" s="141">
        <f t="shared" si="3"/>
        <v>46788</v>
      </c>
      <c r="D67" s="139">
        <f t="shared" si="0"/>
        <v>2</v>
      </c>
      <c r="E67" s="139" t="str">
        <f>IF(ISERROR(MATCH(D67,simulador_1!$H$16:$H$17,0))=FALSE,"C",IF(ISERROR(MATCH(D67,simulador_1!$H$18:$H$19,0))=FALSE,"D",""))</f>
        <v/>
      </c>
      <c r="F67" s="142">
        <f>IF(E67="C",0,IF(E67 ="D",ROUND(1/((1+simulador_1!$Q$13)^A67),9) * 2,ROUND(1/((1+simulador_1!$Q$13)^A67),9)))</f>
        <v>0.55481630800000004</v>
      </c>
      <c r="G67" s="142">
        <f t="shared" si="4"/>
        <v>48.141145058999989</v>
      </c>
      <c r="H67" s="139">
        <f>+COUNTIF($E$4:E67,"C")</f>
        <v>0</v>
      </c>
    </row>
    <row r="68" spans="1:8" x14ac:dyDescent="0.25">
      <c r="A68" s="139">
        <f t="shared" si="1"/>
        <v>65</v>
      </c>
      <c r="B68" s="139">
        <f t="shared" si="5"/>
        <v>65</v>
      </c>
      <c r="C68" s="141">
        <f t="shared" si="3"/>
        <v>46817</v>
      </c>
      <c r="D68" s="139">
        <f t="shared" ref="D68:D99" si="6">MONTH(C68)</f>
        <v>3</v>
      </c>
      <c r="E68" s="139" t="str">
        <f>IF(ISERROR(MATCH(D68,simulador_1!$H$16:$H$17,0))=FALSE,"C",IF(ISERROR(MATCH(D68,simulador_1!$H$18:$H$19,0))=FALSE,"D",""))</f>
        <v/>
      </c>
      <c r="F68" s="142">
        <f>IF(E68="C",0,IF(E68 ="D",ROUND(1/((1+simulador_1!$Q$13)^A68),9) * 2,ROUND(1/((1+simulador_1!$Q$13)^A68),9)))</f>
        <v>0.54973267299999995</v>
      </c>
      <c r="G68" s="142">
        <f t="shared" si="4"/>
        <v>48.69087773199999</v>
      </c>
      <c r="H68" s="139">
        <f>+COUNTIF($E$4:E68,"C")</f>
        <v>0</v>
      </c>
    </row>
    <row r="69" spans="1:8" x14ac:dyDescent="0.25">
      <c r="A69" s="139">
        <f t="shared" ref="A69:A99" si="7">A68+1</f>
        <v>66</v>
      </c>
      <c r="B69" s="139">
        <f t="shared" ref="B69:B99" si="8">IF(E69&lt;&gt;"C",IF(ISERROR(1+B68)=TRUE,1,1+B68),IF(ISNUMBER(B68),B68,1))</f>
        <v>66</v>
      </c>
      <c r="C69" s="141">
        <f t="shared" ref="C69:C99" si="9">DATE(YEAR(C68) + 1/12,MONTH(C68)+1,DAY(C68))</f>
        <v>46848</v>
      </c>
      <c r="D69" s="139">
        <f t="shared" si="6"/>
        <v>4</v>
      </c>
      <c r="E69" s="139" t="str">
        <f>IF(ISERROR(MATCH(D69,simulador_1!$H$16:$H$17,0))=FALSE,"C",IF(ISERROR(MATCH(D69,simulador_1!$H$18:$H$19,0))=FALSE,"D",""))</f>
        <v/>
      </c>
      <c r="F69" s="142">
        <f>IF(E69="C",0,IF(E69 ="D",ROUND(1/((1+simulador_1!$Q$13)^A69),9) * 2,ROUND(1/((1+simulador_1!$Q$13)^A69),9)))</f>
        <v>0.54469561799999999</v>
      </c>
      <c r="G69" s="142">
        <f t="shared" si="4"/>
        <v>49.235573349999989</v>
      </c>
      <c r="H69" s="139">
        <f>+COUNTIF($E$4:E69,"C")</f>
        <v>0</v>
      </c>
    </row>
    <row r="70" spans="1:8" x14ac:dyDescent="0.25">
      <c r="A70" s="139">
        <f t="shared" si="7"/>
        <v>67</v>
      </c>
      <c r="B70" s="139">
        <f t="shared" si="8"/>
        <v>67</v>
      </c>
      <c r="C70" s="141">
        <f t="shared" si="9"/>
        <v>46878</v>
      </c>
      <c r="D70" s="139">
        <f t="shared" si="6"/>
        <v>5</v>
      </c>
      <c r="E70" s="139" t="str">
        <f>IF(ISERROR(MATCH(D70,simulador_1!$H$16:$H$17,0))=FALSE,"C",IF(ISERROR(MATCH(D70,simulador_1!$H$18:$H$19,0))=FALSE,"D",""))</f>
        <v/>
      </c>
      <c r="F70" s="142">
        <f>IF(E70="C",0,IF(E70 ="D",ROUND(1/((1+simulador_1!$Q$13)^A70),9) * 2,ROUND(1/((1+simulador_1!$Q$13)^A70),9)))</f>
        <v>0.53970471600000003</v>
      </c>
      <c r="G70" s="142">
        <f t="shared" ref="G70:G99" si="10">G69+ROUND(F70,9)</f>
        <v>49.775278065999991</v>
      </c>
      <c r="H70" s="139">
        <f>+COUNTIF($E$4:E70,"C")</f>
        <v>0</v>
      </c>
    </row>
    <row r="71" spans="1:8" x14ac:dyDescent="0.25">
      <c r="A71" s="139">
        <f t="shared" si="7"/>
        <v>68</v>
      </c>
      <c r="B71" s="139">
        <f t="shared" si="8"/>
        <v>68</v>
      </c>
      <c r="C71" s="141">
        <f t="shared" si="9"/>
        <v>46909</v>
      </c>
      <c r="D71" s="139">
        <f t="shared" si="6"/>
        <v>6</v>
      </c>
      <c r="E71" s="139" t="str">
        <f>IF(ISERROR(MATCH(D71,simulador_1!$H$16:$H$17,0))=FALSE,"C",IF(ISERROR(MATCH(D71,simulador_1!$H$18:$H$19,0))=FALSE,"D",""))</f>
        <v/>
      </c>
      <c r="F71" s="142">
        <f>IF(E71="C",0,IF(E71 ="D",ROUND(1/((1+simulador_1!$Q$13)^A71),9) * 2,ROUND(1/((1+simulador_1!$Q$13)^A71),9)))</f>
        <v>0.53475954400000003</v>
      </c>
      <c r="G71" s="142">
        <f t="shared" si="10"/>
        <v>50.310037609999995</v>
      </c>
      <c r="H71" s="139">
        <f>+COUNTIF($E$4:E71,"C")</f>
        <v>0</v>
      </c>
    </row>
    <row r="72" spans="1:8" x14ac:dyDescent="0.25">
      <c r="A72" s="139">
        <f t="shared" si="7"/>
        <v>69</v>
      </c>
      <c r="B72" s="139">
        <f t="shared" si="8"/>
        <v>69</v>
      </c>
      <c r="C72" s="141">
        <f t="shared" si="9"/>
        <v>46939</v>
      </c>
      <c r="D72" s="139">
        <f t="shared" si="6"/>
        <v>7</v>
      </c>
      <c r="E72" s="139" t="str">
        <f>IF(ISERROR(MATCH(D72,simulador_1!$H$16:$H$17,0))=FALSE,"C",IF(ISERROR(MATCH(D72,simulador_1!$H$18:$H$19,0))=FALSE,"D",""))</f>
        <v/>
      </c>
      <c r="F72" s="142">
        <f>IF(E72="C",0,IF(E72 ="D",ROUND(1/((1+simulador_1!$Q$13)^A72),9) * 2,ROUND(1/((1+simulador_1!$Q$13)^A72),9)))</f>
        <v>0.52985968400000005</v>
      </c>
      <c r="G72" s="142">
        <f t="shared" si="10"/>
        <v>50.839897293999996</v>
      </c>
      <c r="H72" s="139">
        <f>+COUNTIF($E$4:E72,"C")</f>
        <v>0</v>
      </c>
    </row>
    <row r="73" spans="1:8" x14ac:dyDescent="0.25">
      <c r="A73" s="139">
        <f t="shared" si="7"/>
        <v>70</v>
      </c>
      <c r="B73" s="139">
        <f>IF(E73&lt;&gt;"C",IF(ISERROR(1+B72)=TRUE,1,1+B72),IF(ISNUMBER(B72),B72,1))</f>
        <v>70</v>
      </c>
      <c r="C73" s="141">
        <f t="shared" si="9"/>
        <v>46970</v>
      </c>
      <c r="D73" s="139">
        <f t="shared" si="6"/>
        <v>8</v>
      </c>
      <c r="E73" s="139" t="str">
        <f>IF(ISERROR(MATCH(D73,simulador_1!$H$16:$H$17,0))=FALSE,"C",IF(ISERROR(MATCH(D73,simulador_1!$H$18:$H$19,0))=FALSE,"D",""))</f>
        <v/>
      </c>
      <c r="F73" s="142">
        <f>IF(E73="C",0,IF(E73 ="D",ROUND(1/((1+simulador_1!$Q$13)^A73),9) * 2,ROUND(1/((1+simulador_1!$Q$13)^A73),9)))</f>
        <v>0.52500471900000001</v>
      </c>
      <c r="G73" s="142">
        <f t="shared" si="10"/>
        <v>51.364902012999998</v>
      </c>
      <c r="H73" s="139">
        <f>+COUNTIF($E$4:E73,"C")</f>
        <v>0</v>
      </c>
    </row>
    <row r="74" spans="1:8" x14ac:dyDescent="0.25">
      <c r="A74" s="139">
        <f t="shared" si="7"/>
        <v>71</v>
      </c>
      <c r="B74" s="139">
        <f t="shared" si="8"/>
        <v>71</v>
      </c>
      <c r="C74" s="141">
        <f t="shared" si="9"/>
        <v>47001</v>
      </c>
      <c r="D74" s="139">
        <f t="shared" si="6"/>
        <v>9</v>
      </c>
      <c r="E74" s="139" t="str">
        <f>IF(ISERROR(MATCH(D74,simulador_1!$H$16:$H$17,0))=FALSE,"C",IF(ISERROR(MATCH(D74,simulador_1!$H$18:$H$19,0))=FALSE,"D",""))</f>
        <v/>
      </c>
      <c r="F74" s="142">
        <f>IF(E74="C",0,IF(E74 ="D",ROUND(1/((1+simulador_1!$Q$13)^A74),9) * 2,ROUND(1/((1+simulador_1!$Q$13)^A74),9)))</f>
        <v>0.52019424000000003</v>
      </c>
      <c r="G74" s="142">
        <f t="shared" si="10"/>
        <v>51.885096253</v>
      </c>
      <c r="H74" s="139">
        <f>+COUNTIF($E$4:E74,"C")</f>
        <v>0</v>
      </c>
    </row>
    <row r="75" spans="1:8" s="284" customFormat="1" x14ac:dyDescent="0.25">
      <c r="A75" s="281">
        <f t="shared" si="7"/>
        <v>72</v>
      </c>
      <c r="B75" s="281">
        <f t="shared" si="8"/>
        <v>72</v>
      </c>
      <c r="C75" s="282">
        <f t="shared" si="9"/>
        <v>47031</v>
      </c>
      <c r="D75" s="281">
        <f t="shared" si="6"/>
        <v>10</v>
      </c>
      <c r="E75" s="281" t="str">
        <f>IF(ISERROR(MATCH(D75,simulador_1!$H$16:$H$17,0))=FALSE,"C",IF(ISERROR(MATCH(D75,simulador_1!$H$18:$H$19,0))=FALSE,"D",""))</f>
        <v/>
      </c>
      <c r="F75" s="283">
        <f>IF(E75="C",0,IF(E75 ="D",ROUND(1/((1+simulador_1!$Q$13)^A75),9) * 2,ROUND(1/((1+simulador_1!$Q$13)^A75),9)))</f>
        <v>0.51542783700000006</v>
      </c>
      <c r="G75" s="283">
        <f t="shared" si="10"/>
        <v>52.400524089999998</v>
      </c>
      <c r="H75" s="281">
        <f>+COUNTIF($E$4:E75,"C")</f>
        <v>0</v>
      </c>
    </row>
    <row r="76" spans="1:8" x14ac:dyDescent="0.25">
      <c r="A76" s="139">
        <f t="shared" si="7"/>
        <v>73</v>
      </c>
      <c r="B76" s="139">
        <f t="shared" si="8"/>
        <v>73</v>
      </c>
      <c r="C76" s="141">
        <f t="shared" si="9"/>
        <v>47062</v>
      </c>
      <c r="D76" s="139">
        <f t="shared" si="6"/>
        <v>11</v>
      </c>
      <c r="E76" s="139" t="str">
        <f>IF(ISERROR(MATCH(D76,simulador_1!$H$16:$H$17,0))=FALSE,"C",IF(ISERROR(MATCH(D76,simulador_1!$H$18:$H$19,0))=FALSE,"D",""))</f>
        <v/>
      </c>
      <c r="F76" s="142">
        <f>IF(E76="C",0,IF(E76 ="D",ROUND(1/((1+simulador_1!$Q$13)^A76),9) * 2,ROUND(1/((1+simulador_1!$Q$13)^A76),9)))</f>
        <v>0.51070510800000002</v>
      </c>
      <c r="G76" s="142">
        <f t="shared" si="10"/>
        <v>52.911229198000001</v>
      </c>
      <c r="H76" s="139">
        <f>+COUNTIF($E$4:E76,"C")</f>
        <v>0</v>
      </c>
    </row>
    <row r="77" spans="1:8" x14ac:dyDescent="0.25">
      <c r="A77" s="139">
        <f t="shared" si="7"/>
        <v>74</v>
      </c>
      <c r="B77" s="139">
        <f t="shared" si="8"/>
        <v>74</v>
      </c>
      <c r="C77" s="141">
        <f t="shared" si="9"/>
        <v>47092</v>
      </c>
      <c r="D77" s="139">
        <f t="shared" si="6"/>
        <v>12</v>
      </c>
      <c r="E77" s="139" t="str">
        <f>IF(ISERROR(MATCH(D77,simulador_1!$H$16:$H$17,0))=FALSE,"C",IF(ISERROR(MATCH(D77,simulador_1!$H$18:$H$19,0))=FALSE,"D",""))</f>
        <v/>
      </c>
      <c r="F77" s="142">
        <f>IF(E77="C",0,IF(E77 ="D",ROUND(1/((1+simulador_1!$Q$13)^A77),9) * 2,ROUND(1/((1+simulador_1!$Q$13)^A77),9)))</f>
        <v>0.50602565200000005</v>
      </c>
      <c r="G77" s="142">
        <f t="shared" si="10"/>
        <v>53.417254849999999</v>
      </c>
      <c r="H77" s="139">
        <f>+COUNTIF($E$4:E77,"C")</f>
        <v>0</v>
      </c>
    </row>
    <row r="78" spans="1:8" x14ac:dyDescent="0.25">
      <c r="A78" s="139">
        <f t="shared" si="7"/>
        <v>75</v>
      </c>
      <c r="B78" s="139">
        <f t="shared" si="8"/>
        <v>75</v>
      </c>
      <c r="C78" s="141">
        <f t="shared" si="9"/>
        <v>47123</v>
      </c>
      <c r="D78" s="139">
        <f t="shared" si="6"/>
        <v>1</v>
      </c>
      <c r="E78" s="139" t="str">
        <f>IF(ISERROR(MATCH(D78,simulador_1!$H$16:$H$17,0))=FALSE,"C",IF(ISERROR(MATCH(D78,simulador_1!$H$18:$H$19,0))=FALSE,"D",""))</f>
        <v/>
      </c>
      <c r="F78" s="142">
        <f>IF(E78="C",0,IF(E78 ="D",ROUND(1/((1+simulador_1!$Q$13)^A78),9) * 2,ROUND(1/((1+simulador_1!$Q$13)^A78),9)))</f>
        <v>0.50138907300000002</v>
      </c>
      <c r="G78" s="142">
        <f t="shared" si="10"/>
        <v>53.918643922999998</v>
      </c>
      <c r="H78" s="139">
        <f>+COUNTIF($E$4:E78,"C")</f>
        <v>0</v>
      </c>
    </row>
    <row r="79" spans="1:8" x14ac:dyDescent="0.25">
      <c r="A79" s="139">
        <f t="shared" si="7"/>
        <v>76</v>
      </c>
      <c r="B79" s="139">
        <f t="shared" si="8"/>
        <v>76</v>
      </c>
      <c r="C79" s="141">
        <f t="shared" si="9"/>
        <v>47154</v>
      </c>
      <c r="D79" s="139">
        <f t="shared" si="6"/>
        <v>2</v>
      </c>
      <c r="E79" s="139" t="str">
        <f>IF(ISERROR(MATCH(D79,simulador_1!$H$16:$H$17,0))=FALSE,"C",IF(ISERROR(MATCH(D79,simulador_1!$H$18:$H$19,0))=FALSE,"D",""))</f>
        <v/>
      </c>
      <c r="F79" s="142">
        <f>IF(E79="C",0,IF(E79 ="D",ROUND(1/((1+simulador_1!$Q$13)^A79),9) * 2,ROUND(1/((1+simulador_1!$Q$13)^A79),9)))</f>
        <v>0.49679497700000003</v>
      </c>
      <c r="G79" s="142">
        <f t="shared" si="10"/>
        <v>54.415438899999998</v>
      </c>
      <c r="H79" s="139">
        <f>+COUNTIF($E$4:E79,"C")</f>
        <v>0</v>
      </c>
    </row>
    <row r="80" spans="1:8" x14ac:dyDescent="0.25">
      <c r="A80" s="139">
        <f t="shared" si="7"/>
        <v>77</v>
      </c>
      <c r="B80" s="139">
        <f t="shared" si="8"/>
        <v>77</v>
      </c>
      <c r="C80" s="141">
        <f t="shared" si="9"/>
        <v>47182</v>
      </c>
      <c r="D80" s="139">
        <f t="shared" si="6"/>
        <v>3</v>
      </c>
      <c r="E80" s="139" t="str">
        <f>IF(ISERROR(MATCH(D80,simulador_1!$H$16:$H$17,0))=FALSE,"C",IF(ISERROR(MATCH(D80,simulador_1!$H$18:$H$19,0))=FALSE,"D",""))</f>
        <v/>
      </c>
      <c r="F80" s="142">
        <f>IF(E80="C",0,IF(E80 ="D",ROUND(1/((1+simulador_1!$Q$13)^A80),9) * 2,ROUND(1/((1+simulador_1!$Q$13)^A80),9)))</f>
        <v>0.492242976</v>
      </c>
      <c r="G80" s="142">
        <f t="shared" si="10"/>
        <v>54.907681875999998</v>
      </c>
      <c r="H80" s="139">
        <f>+COUNTIF($E$4:E80,"C")</f>
        <v>0</v>
      </c>
    </row>
    <row r="81" spans="1:8" x14ac:dyDescent="0.25">
      <c r="A81" s="139">
        <f t="shared" si="7"/>
        <v>78</v>
      </c>
      <c r="B81" s="139">
        <f t="shared" si="8"/>
        <v>78</v>
      </c>
      <c r="C81" s="141">
        <f t="shared" si="9"/>
        <v>47213</v>
      </c>
      <c r="D81" s="139">
        <f t="shared" si="6"/>
        <v>4</v>
      </c>
      <c r="E81" s="139" t="str">
        <f>IF(ISERROR(MATCH(D81,simulador_1!$H$16:$H$17,0))=FALSE,"C",IF(ISERROR(MATCH(D81,simulador_1!$H$18:$H$19,0))=FALSE,"D",""))</f>
        <v/>
      </c>
      <c r="F81" s="142">
        <f>IF(E81="C",0,IF(E81 ="D",ROUND(1/((1+simulador_1!$Q$13)^A81),9) * 2,ROUND(1/((1+simulador_1!$Q$13)^A81),9)))</f>
        <v>0.48773268400000003</v>
      </c>
      <c r="G81" s="142">
        <f t="shared" si="10"/>
        <v>55.395414559999999</v>
      </c>
      <c r="H81" s="139">
        <f>+COUNTIF($E$4:E81,"C")</f>
        <v>0</v>
      </c>
    </row>
    <row r="82" spans="1:8" x14ac:dyDescent="0.25">
      <c r="A82" s="139">
        <f t="shared" si="7"/>
        <v>79</v>
      </c>
      <c r="B82" s="139">
        <f t="shared" si="8"/>
        <v>79</v>
      </c>
      <c r="C82" s="141">
        <f t="shared" si="9"/>
        <v>47243</v>
      </c>
      <c r="D82" s="139">
        <f t="shared" si="6"/>
        <v>5</v>
      </c>
      <c r="E82" s="139" t="str">
        <f>IF(ISERROR(MATCH(D82,simulador_1!$H$16:$H$17,0))=FALSE,"C",IF(ISERROR(MATCH(D82,simulador_1!$H$18:$H$19,0))=FALSE,"D",""))</f>
        <v/>
      </c>
      <c r="F82" s="142">
        <f>IF(E82="C",0,IF(E82 ="D",ROUND(1/((1+simulador_1!$Q$13)^A82),9) * 2,ROUND(1/((1+simulador_1!$Q$13)^A82),9)))</f>
        <v>0.48326371800000001</v>
      </c>
      <c r="G82" s="142">
        <f t="shared" si="10"/>
        <v>55.878678278000002</v>
      </c>
      <c r="H82" s="139">
        <f>+COUNTIF($E$4:E82,"C")</f>
        <v>0</v>
      </c>
    </row>
    <row r="83" spans="1:8" x14ac:dyDescent="0.25">
      <c r="A83" s="139">
        <f t="shared" si="7"/>
        <v>80</v>
      </c>
      <c r="B83" s="139">
        <f t="shared" si="8"/>
        <v>80</v>
      </c>
      <c r="C83" s="141">
        <f t="shared" si="9"/>
        <v>47274</v>
      </c>
      <c r="D83" s="139">
        <f t="shared" si="6"/>
        <v>6</v>
      </c>
      <c r="E83" s="139" t="str">
        <f>IF(ISERROR(MATCH(D83,simulador_1!$H$16:$H$17,0))=FALSE,"C",IF(ISERROR(MATCH(D83,simulador_1!$H$18:$H$19,0))=FALSE,"D",""))</f>
        <v/>
      </c>
      <c r="F83" s="142">
        <f>IF(E83="C",0,IF(E83 ="D",ROUND(1/((1+simulador_1!$Q$13)^A83),9) * 2,ROUND(1/((1+simulador_1!$Q$13)^A83),9)))</f>
        <v>0.478835701</v>
      </c>
      <c r="G83" s="142">
        <f t="shared" si="10"/>
        <v>56.357513979000004</v>
      </c>
      <c r="H83" s="139">
        <f>+COUNTIF($E$4:E83,"C")</f>
        <v>0</v>
      </c>
    </row>
    <row r="84" spans="1:8" x14ac:dyDescent="0.25">
      <c r="A84" s="139">
        <f t="shared" si="7"/>
        <v>81</v>
      </c>
      <c r="B84" s="139">
        <f t="shared" si="8"/>
        <v>81</v>
      </c>
      <c r="C84" s="141">
        <f t="shared" si="9"/>
        <v>47304</v>
      </c>
      <c r="D84" s="139">
        <f t="shared" si="6"/>
        <v>7</v>
      </c>
      <c r="E84" s="139" t="str">
        <f>IF(ISERROR(MATCH(D84,simulador_1!$H$16:$H$17,0))=FALSE,"C",IF(ISERROR(MATCH(D84,simulador_1!$H$18:$H$19,0))=FALSE,"D",""))</f>
        <v/>
      </c>
      <c r="F84" s="142">
        <f>IF(E84="C",0,IF(E84 ="D",ROUND(1/((1+simulador_1!$Q$13)^A84),9) * 2,ROUND(1/((1+simulador_1!$Q$13)^A84),9)))</f>
        <v>0.47444825600000001</v>
      </c>
      <c r="G84" s="142">
        <f t="shared" si="10"/>
        <v>56.831962235000006</v>
      </c>
      <c r="H84" s="139">
        <f>+COUNTIF($E$4:E84,"C")</f>
        <v>0</v>
      </c>
    </row>
    <row r="85" spans="1:8" x14ac:dyDescent="0.25">
      <c r="A85" s="139">
        <f t="shared" si="7"/>
        <v>82</v>
      </c>
      <c r="B85" s="139">
        <f t="shared" si="8"/>
        <v>82</v>
      </c>
      <c r="C85" s="141">
        <f t="shared" si="9"/>
        <v>47335</v>
      </c>
      <c r="D85" s="139">
        <f t="shared" si="6"/>
        <v>8</v>
      </c>
      <c r="E85" s="139" t="str">
        <f>IF(ISERROR(MATCH(D85,simulador_1!$H$16:$H$17,0))=FALSE,"C",IF(ISERROR(MATCH(D85,simulador_1!$H$18:$H$19,0))=FALSE,"D",""))</f>
        <v/>
      </c>
      <c r="F85" s="142">
        <f>IF(E85="C",0,IF(E85 ="D",ROUND(1/((1+simulador_1!$Q$13)^A85),9) * 2,ROUND(1/((1+simulador_1!$Q$13)^A85),9)))</f>
        <v>0.47010101199999998</v>
      </c>
      <c r="G85" s="142">
        <f t="shared" si="10"/>
        <v>57.302063247000007</v>
      </c>
      <c r="H85" s="139">
        <f>+COUNTIF($E$4:E85,"C")</f>
        <v>0</v>
      </c>
    </row>
    <row r="86" spans="1:8" x14ac:dyDescent="0.25">
      <c r="A86" s="139">
        <f t="shared" si="7"/>
        <v>83</v>
      </c>
      <c r="B86" s="139">
        <f t="shared" si="8"/>
        <v>83</v>
      </c>
      <c r="C86" s="141">
        <f t="shared" si="9"/>
        <v>47366</v>
      </c>
      <c r="D86" s="139">
        <f t="shared" si="6"/>
        <v>9</v>
      </c>
      <c r="E86" s="139" t="str">
        <f>IF(ISERROR(MATCH(D86,simulador_1!$H$16:$H$17,0))=FALSE,"C",IF(ISERROR(MATCH(D86,simulador_1!$H$18:$H$19,0))=FALSE,"D",""))</f>
        <v/>
      </c>
      <c r="F86" s="142">
        <f>IF(E86="C",0,IF(E86 ="D",ROUND(1/((1+simulador_1!$Q$13)^A86),9) * 2,ROUND(1/((1+simulador_1!$Q$13)^A86),9)))</f>
        <v>0.46579359999999997</v>
      </c>
      <c r="G86" s="142">
        <f t="shared" si="10"/>
        <v>57.767856847000004</v>
      </c>
      <c r="H86" s="139">
        <f>+COUNTIF($E$4:E86,"C")</f>
        <v>0</v>
      </c>
    </row>
    <row r="87" spans="1:8" x14ac:dyDescent="0.25">
      <c r="A87" s="139">
        <f t="shared" si="7"/>
        <v>84</v>
      </c>
      <c r="B87" s="139">
        <f t="shared" si="8"/>
        <v>84</v>
      </c>
      <c r="C87" s="141">
        <f t="shared" si="9"/>
        <v>47396</v>
      </c>
      <c r="D87" s="139">
        <f t="shared" si="6"/>
        <v>10</v>
      </c>
      <c r="E87" s="139" t="str">
        <f>IF(ISERROR(MATCH(D87,simulador_1!$H$16:$H$17,0))=FALSE,"C",IF(ISERROR(MATCH(D87,simulador_1!$H$18:$H$19,0))=FALSE,"D",""))</f>
        <v/>
      </c>
      <c r="F87" s="142">
        <f>IF(E87="C",0,IF(E87 ="D",ROUND(1/((1+simulador_1!$Q$13)^A87),9) * 2,ROUND(1/((1+simulador_1!$Q$13)^A87),9)))</f>
        <v>0.46152565699999998</v>
      </c>
      <c r="G87" s="142">
        <f t="shared" si="10"/>
        <v>58.229382504000007</v>
      </c>
      <c r="H87" s="139">
        <f>+COUNTIF($E$4:E87,"C")</f>
        <v>0</v>
      </c>
    </row>
    <row r="88" spans="1:8" x14ac:dyDescent="0.25">
      <c r="A88" s="139">
        <f t="shared" si="7"/>
        <v>85</v>
      </c>
      <c r="B88" s="139">
        <f t="shared" si="8"/>
        <v>85</v>
      </c>
      <c r="C88" s="141">
        <f t="shared" si="9"/>
        <v>47427</v>
      </c>
      <c r="D88" s="139">
        <f t="shared" si="6"/>
        <v>11</v>
      </c>
      <c r="E88" s="139" t="str">
        <f>IF(ISERROR(MATCH(D88,simulador_1!$H$16:$H$17,0))=FALSE,"C",IF(ISERROR(MATCH(D88,simulador_1!$H$18:$H$19,0))=FALSE,"D",""))</f>
        <v/>
      </c>
      <c r="F88" s="142">
        <f>IF(E88="C",0,IF(E88 ="D",ROUND(1/((1+simulador_1!$Q$13)^A88),9) * 2,ROUND(1/((1+simulador_1!$Q$13)^A88),9)))</f>
        <v>0.45729681900000002</v>
      </c>
      <c r="G88" s="142">
        <f t="shared" si="10"/>
        <v>58.686679323000007</v>
      </c>
      <c r="H88" s="139">
        <f>+COUNTIF($E$4:E88,"C")</f>
        <v>0</v>
      </c>
    </row>
    <row r="89" spans="1:8" x14ac:dyDescent="0.25">
      <c r="A89" s="139">
        <f t="shared" si="7"/>
        <v>86</v>
      </c>
      <c r="B89" s="139">
        <f t="shared" si="8"/>
        <v>86</v>
      </c>
      <c r="C89" s="141">
        <f t="shared" si="9"/>
        <v>47457</v>
      </c>
      <c r="D89" s="139">
        <f t="shared" si="6"/>
        <v>12</v>
      </c>
      <c r="E89" s="139" t="str">
        <f>IF(ISERROR(MATCH(D89,simulador_1!$H$16:$H$17,0))=FALSE,"C",IF(ISERROR(MATCH(D89,simulador_1!$H$18:$H$19,0))=FALSE,"D",""))</f>
        <v/>
      </c>
      <c r="F89" s="142">
        <f>IF(E89="C",0,IF(E89 ="D",ROUND(1/((1+simulador_1!$Q$13)^A89),9) * 2,ROUND(1/((1+simulador_1!$Q$13)^A89),9)))</f>
        <v>0.45310672899999999</v>
      </c>
      <c r="G89" s="142">
        <f t="shared" si="10"/>
        <v>59.139786052000005</v>
      </c>
      <c r="H89" s="139">
        <f>+COUNTIF($E$4:E89,"C")</f>
        <v>0</v>
      </c>
    </row>
    <row r="90" spans="1:8" x14ac:dyDescent="0.25">
      <c r="A90" s="139">
        <f t="shared" si="7"/>
        <v>87</v>
      </c>
      <c r="B90" s="139">
        <f t="shared" si="8"/>
        <v>87</v>
      </c>
      <c r="C90" s="141">
        <f t="shared" si="9"/>
        <v>47488</v>
      </c>
      <c r="D90" s="139">
        <f t="shared" si="6"/>
        <v>1</v>
      </c>
      <c r="E90" s="139" t="str">
        <f>IF(ISERROR(MATCH(D90,simulador_1!$H$16:$H$17,0))=FALSE,"C",IF(ISERROR(MATCH(D90,simulador_1!$H$18:$H$19,0))=FALSE,"D",""))</f>
        <v/>
      </c>
      <c r="F90" s="142">
        <f>IF(E90="C",0,IF(E90 ="D",ROUND(1/((1+simulador_1!$Q$13)^A90),9) * 2,ROUND(1/((1+simulador_1!$Q$13)^A90),9)))</f>
        <v>0.44895503199999998</v>
      </c>
      <c r="G90" s="142">
        <f t="shared" si="10"/>
        <v>59.588741084000006</v>
      </c>
      <c r="H90" s="139">
        <f>+COUNTIF($E$4:E90,"C")</f>
        <v>0</v>
      </c>
    </row>
    <row r="91" spans="1:8" x14ac:dyDescent="0.25">
      <c r="A91" s="139">
        <f t="shared" si="7"/>
        <v>88</v>
      </c>
      <c r="B91" s="139">
        <f t="shared" si="8"/>
        <v>88</v>
      </c>
      <c r="C91" s="141">
        <f t="shared" si="9"/>
        <v>47519</v>
      </c>
      <c r="D91" s="139">
        <f t="shared" si="6"/>
        <v>2</v>
      </c>
      <c r="E91" s="139" t="str">
        <f>IF(ISERROR(MATCH(D91,simulador_1!$H$16:$H$17,0))=FALSE,"C",IF(ISERROR(MATCH(D91,simulador_1!$H$18:$H$19,0))=FALSE,"D",""))</f>
        <v/>
      </c>
      <c r="F91" s="142">
        <f>IF(E91="C",0,IF(E91 ="D",ROUND(1/((1+simulador_1!$Q$13)^A91),9) * 2,ROUND(1/((1+simulador_1!$Q$13)^A91),9)))</f>
        <v>0.44484137499999998</v>
      </c>
      <c r="G91" s="142">
        <f t="shared" si="10"/>
        <v>60.033582459000009</v>
      </c>
      <c r="H91" s="139">
        <f>+COUNTIF($E$4:E91,"C")</f>
        <v>0</v>
      </c>
    </row>
    <row r="92" spans="1:8" x14ac:dyDescent="0.25">
      <c r="A92" s="139">
        <f t="shared" si="7"/>
        <v>89</v>
      </c>
      <c r="B92" s="139">
        <f t="shared" si="8"/>
        <v>89</v>
      </c>
      <c r="C92" s="141">
        <f t="shared" si="9"/>
        <v>47547</v>
      </c>
      <c r="D92" s="139">
        <f t="shared" si="6"/>
        <v>3</v>
      </c>
      <c r="E92" s="139" t="str">
        <f>IF(ISERROR(MATCH(D92,simulador_1!$H$16:$H$17,0))=FALSE,"C",IF(ISERROR(MATCH(D92,simulador_1!$H$18:$H$19,0))=FALSE,"D",""))</f>
        <v/>
      </c>
      <c r="F92" s="142">
        <f>IF(E92="C",0,IF(E92 ="D",ROUND(1/((1+simulador_1!$Q$13)^A92),9) * 2,ROUND(1/((1+simulador_1!$Q$13)^A92),9)))</f>
        <v>0.440765411</v>
      </c>
      <c r="G92" s="142">
        <f t="shared" si="10"/>
        <v>60.47434787000001</v>
      </c>
      <c r="H92" s="139">
        <f>+COUNTIF($E$4:E92,"C")</f>
        <v>0</v>
      </c>
    </row>
    <row r="93" spans="1:8" x14ac:dyDescent="0.25">
      <c r="A93" s="139">
        <f t="shared" si="7"/>
        <v>90</v>
      </c>
      <c r="B93" s="139">
        <f t="shared" si="8"/>
        <v>90</v>
      </c>
      <c r="C93" s="141">
        <f t="shared" si="9"/>
        <v>47578</v>
      </c>
      <c r="D93" s="139">
        <f t="shared" si="6"/>
        <v>4</v>
      </c>
      <c r="E93" s="139" t="str">
        <f>IF(ISERROR(MATCH(D93,simulador_1!$H$16:$H$17,0))=FALSE,"C",IF(ISERROR(MATCH(D93,simulador_1!$H$18:$H$19,0))=FALSE,"D",""))</f>
        <v/>
      </c>
      <c r="F93" s="142">
        <f>IF(E93="C",0,IF(E93 ="D",ROUND(1/((1+simulador_1!$Q$13)^A93),9) * 2,ROUND(1/((1+simulador_1!$Q$13)^A93),9)))</f>
        <v>0.43672679399999997</v>
      </c>
      <c r="G93" s="142">
        <f t="shared" si="10"/>
        <v>60.911074664000012</v>
      </c>
      <c r="H93" s="139">
        <f>+COUNTIF($E$4:E93,"C")</f>
        <v>0</v>
      </c>
    </row>
    <row r="94" spans="1:8" x14ac:dyDescent="0.25">
      <c r="A94" s="139">
        <f t="shared" si="7"/>
        <v>91</v>
      </c>
      <c r="B94" s="139">
        <f t="shared" si="8"/>
        <v>91</v>
      </c>
      <c r="C94" s="141">
        <f t="shared" si="9"/>
        <v>47608</v>
      </c>
      <c r="D94" s="139">
        <f t="shared" si="6"/>
        <v>5</v>
      </c>
      <c r="E94" s="139" t="str">
        <f>IF(ISERROR(MATCH(D94,simulador_1!$H$16:$H$17,0))=FALSE,"C",IF(ISERROR(MATCH(D94,simulador_1!$H$18:$H$19,0))=FALSE,"D",""))</f>
        <v/>
      </c>
      <c r="F94" s="142">
        <f>IF(E94="C",0,IF(E94 ="D",ROUND(1/((1+simulador_1!$Q$13)^A94),9) * 2,ROUND(1/((1+simulador_1!$Q$13)^A94),9)))</f>
        <v>0.43272518199999999</v>
      </c>
      <c r="G94" s="142">
        <f t="shared" si="10"/>
        <v>61.34379984600001</v>
      </c>
      <c r="H94" s="139">
        <f>+COUNTIF($E$4:E94,"C")</f>
        <v>0</v>
      </c>
    </row>
    <row r="95" spans="1:8" x14ac:dyDescent="0.25">
      <c r="A95" s="139">
        <f t="shared" si="7"/>
        <v>92</v>
      </c>
      <c r="B95" s="139">
        <f t="shared" si="8"/>
        <v>92</v>
      </c>
      <c r="C95" s="141">
        <f t="shared" si="9"/>
        <v>47639</v>
      </c>
      <c r="D95" s="139">
        <f t="shared" si="6"/>
        <v>6</v>
      </c>
      <c r="E95" s="139" t="str">
        <f>IF(ISERROR(MATCH(D95,simulador_1!$H$16:$H$17,0))=FALSE,"C",IF(ISERROR(MATCH(D95,simulador_1!$H$18:$H$19,0))=FALSE,"D",""))</f>
        <v/>
      </c>
      <c r="F95" s="142">
        <f>IF(E95="C",0,IF(E95 ="D",ROUND(1/((1+simulador_1!$Q$13)^A95),9) * 2,ROUND(1/((1+simulador_1!$Q$13)^A95),9)))</f>
        <v>0.42876023600000002</v>
      </c>
      <c r="G95" s="142">
        <f t="shared" si="10"/>
        <v>61.772560082000012</v>
      </c>
      <c r="H95" s="139">
        <f>+COUNTIF($E$4:E95,"C")</f>
        <v>0</v>
      </c>
    </row>
    <row r="96" spans="1:8" x14ac:dyDescent="0.25">
      <c r="A96" s="139">
        <f t="shared" si="7"/>
        <v>93</v>
      </c>
      <c r="B96" s="139">
        <f t="shared" si="8"/>
        <v>93</v>
      </c>
      <c r="C96" s="141">
        <f t="shared" si="9"/>
        <v>47669</v>
      </c>
      <c r="D96" s="139">
        <f t="shared" si="6"/>
        <v>7</v>
      </c>
      <c r="E96" s="139" t="str">
        <f>IF(ISERROR(MATCH(D96,simulador_1!$H$16:$H$17,0))=FALSE,"C",IF(ISERROR(MATCH(D96,simulador_1!$H$18:$H$19,0))=FALSE,"D",""))</f>
        <v/>
      </c>
      <c r="F96" s="142">
        <f>IF(E96="C",0,IF(E96 ="D",ROUND(1/((1+simulador_1!$Q$13)^A96),9) * 2,ROUND(1/((1+simulador_1!$Q$13)^A96),9)))</f>
        <v>0.42483161899999999</v>
      </c>
      <c r="G96" s="142">
        <f t="shared" si="10"/>
        <v>62.197391701000015</v>
      </c>
      <c r="H96" s="139">
        <f>+COUNTIF($E$4:E96,"C")</f>
        <v>0</v>
      </c>
    </row>
    <row r="97" spans="1:8" x14ac:dyDescent="0.25">
      <c r="A97" s="139">
        <f t="shared" si="7"/>
        <v>94</v>
      </c>
      <c r="B97" s="139">
        <f t="shared" si="8"/>
        <v>94</v>
      </c>
      <c r="C97" s="141">
        <f t="shared" si="9"/>
        <v>47700</v>
      </c>
      <c r="D97" s="139">
        <f t="shared" si="6"/>
        <v>8</v>
      </c>
      <c r="E97" s="139" t="str">
        <f>IF(ISERROR(MATCH(D97,simulador_1!$H$16:$H$17,0))=FALSE,"C",IF(ISERROR(MATCH(D97,simulador_1!$H$18:$H$19,0))=FALSE,"D",""))</f>
        <v/>
      </c>
      <c r="F97" s="142">
        <f>IF(E97="C",0,IF(E97 ="D",ROUND(1/((1+simulador_1!$Q$13)^A97),9) * 2,ROUND(1/((1+simulador_1!$Q$13)^A97),9)))</f>
        <v>0.42093899899999998</v>
      </c>
      <c r="G97" s="142">
        <f t="shared" si="10"/>
        <v>62.618330700000016</v>
      </c>
      <c r="H97" s="139">
        <f>+COUNTIF($E$4:E97,"C")</f>
        <v>0</v>
      </c>
    </row>
    <row r="98" spans="1:8" x14ac:dyDescent="0.25">
      <c r="A98" s="139">
        <f t="shared" si="7"/>
        <v>95</v>
      </c>
      <c r="B98" s="139">
        <f t="shared" si="8"/>
        <v>95</v>
      </c>
      <c r="C98" s="141">
        <f t="shared" si="9"/>
        <v>47731</v>
      </c>
      <c r="D98" s="139">
        <f t="shared" si="6"/>
        <v>9</v>
      </c>
      <c r="E98" s="139" t="str">
        <f>IF(ISERROR(MATCH(D98,simulador_1!$H$16:$H$17,0))=FALSE,"C",IF(ISERROR(MATCH(D98,simulador_1!$H$18:$H$19,0))=FALSE,"D",""))</f>
        <v/>
      </c>
      <c r="F98" s="142">
        <f>IF(E98="C",0,IF(E98 ="D",ROUND(1/((1+simulador_1!$Q$13)^A98),9) * 2,ROUND(1/((1+simulador_1!$Q$13)^A98),9)))</f>
        <v>0.41708204599999998</v>
      </c>
      <c r="G98" s="142">
        <f t="shared" si="10"/>
        <v>63.035412746000013</v>
      </c>
      <c r="H98" s="139">
        <f>+COUNTIF($E$4:E98,"C")</f>
        <v>0</v>
      </c>
    </row>
    <row r="99" spans="1:8" x14ac:dyDescent="0.25">
      <c r="A99" s="139">
        <f t="shared" si="7"/>
        <v>96</v>
      </c>
      <c r="B99" s="139">
        <f t="shared" si="8"/>
        <v>96</v>
      </c>
      <c r="C99" s="141">
        <f t="shared" si="9"/>
        <v>47761</v>
      </c>
      <c r="D99" s="139">
        <f t="shared" si="6"/>
        <v>10</v>
      </c>
      <c r="E99" s="139" t="str">
        <f>IF(ISERROR(MATCH(D99,simulador_1!$H$16:$H$17,0))=FALSE,"C",IF(ISERROR(MATCH(D99,simulador_1!$H$18:$H$19,0))=FALSE,"D",""))</f>
        <v/>
      </c>
      <c r="F99" s="142">
        <f>IF(E99="C",0,IF(E99 ="D",ROUND(1/((1+simulador_1!$Q$13)^A99),9) * 2,ROUND(1/((1+simulador_1!$Q$13)^A99),9)))</f>
        <v>0.41326043400000001</v>
      </c>
      <c r="G99" s="142">
        <f t="shared" si="10"/>
        <v>63.448673180000014</v>
      </c>
      <c r="H99" s="139">
        <f>+COUNTIF($E$4:E99,"C")</f>
        <v>0</v>
      </c>
    </row>
  </sheetData>
  <mergeCells count="1">
    <mergeCell ref="A1:H1"/>
  </mergeCells>
  <pageMargins left="0.75" right="0.75" top="1" bottom="1" header="0" footer="0"/>
  <pageSetup paperSize="9" orientation="portrait" r:id="rId1"/>
  <headerFooter alignWithMargins="0">
    <oddFooter>&amp;C_x000D_&amp;1#&amp;"Calibri"&amp;8&amp;K000000 Información Interna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F2674-C9F7-41E3-B81F-6C1E4A3F1A8E}">
  <sheetPr codeName="Hoja5">
    <tabColor theme="0" tint="-0.249977111117893"/>
  </sheetPr>
  <dimension ref="A2:AB106"/>
  <sheetViews>
    <sheetView topLeftCell="A22" zoomScale="89" zoomScaleNormal="89" workbookViewId="0">
      <selection activeCell="C10" sqref="C10"/>
    </sheetView>
  </sheetViews>
  <sheetFormatPr baseColWidth="10" defaultColWidth="11.44140625" defaultRowHeight="10.199999999999999" x14ac:dyDescent="0.2"/>
  <cols>
    <col min="1" max="1" width="2.6640625" style="4" bestFit="1" customWidth="1"/>
    <col min="2" max="2" width="1.6640625" style="4" bestFit="1" customWidth="1"/>
    <col min="3" max="3" width="12.44140625" style="4" customWidth="1"/>
    <col min="4" max="4" width="11.33203125" style="4" customWidth="1"/>
    <col min="5" max="5" width="10.44140625" style="4" customWidth="1"/>
    <col min="6" max="6" width="8.5546875" style="4" customWidth="1"/>
    <col min="7" max="7" width="10.33203125" style="4" customWidth="1"/>
    <col min="8" max="8" width="11.6640625" style="4" bestFit="1" customWidth="1"/>
    <col min="9" max="9" width="10.5546875" style="4" customWidth="1"/>
    <col min="10" max="10" width="11.33203125" style="4" customWidth="1"/>
    <col min="11" max="11" width="16.44140625" style="4" customWidth="1"/>
    <col min="12" max="12" width="11.33203125" style="4" customWidth="1"/>
    <col min="13" max="13" width="9.5546875" style="4" customWidth="1"/>
    <col min="14" max="14" width="15.33203125" style="4" customWidth="1"/>
    <col min="15" max="15" width="12.33203125" style="4" customWidth="1"/>
    <col min="16" max="16" width="13.6640625" style="4" bestFit="1" customWidth="1"/>
    <col min="17" max="18" width="13.6640625" style="4" customWidth="1"/>
    <col min="19" max="19" width="13" style="4" customWidth="1"/>
    <col min="20" max="16384" width="11.44140625" style="4"/>
  </cols>
  <sheetData>
    <row r="2" spans="3:19" ht="23.25" customHeight="1" x14ac:dyDescent="0.2">
      <c r="C2" s="316" t="s">
        <v>81</v>
      </c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3:19" ht="26.25" customHeight="1" x14ac:dyDescent="0.2"/>
    <row r="5" spans="3:19" ht="13.8" x14ac:dyDescent="0.3">
      <c r="C5" s="143" t="s">
        <v>19</v>
      </c>
      <c r="D5" s="6"/>
      <c r="E5" s="6"/>
      <c r="F5" s="6"/>
      <c r="G5" s="144">
        <f>+RESUMEN!$C$2</f>
        <v>33050</v>
      </c>
      <c r="K5" s="145" t="s">
        <v>55</v>
      </c>
      <c r="L5" s="145"/>
      <c r="M5" s="145"/>
      <c r="N5" s="3"/>
      <c r="O5" s="3"/>
      <c r="P5" s="146">
        <f>+RESUMEN!$C$6</f>
        <v>44679</v>
      </c>
      <c r="Q5" s="76"/>
    </row>
    <row r="6" spans="3:19" ht="13.8" x14ac:dyDescent="0.3">
      <c r="C6" s="143" t="s">
        <v>20</v>
      </c>
      <c r="D6" s="6"/>
      <c r="E6" s="6"/>
      <c r="F6" s="6"/>
      <c r="G6" s="144">
        <f>G5</f>
        <v>33050</v>
      </c>
      <c r="K6" s="145" t="s">
        <v>24</v>
      </c>
      <c r="L6" s="145"/>
      <c r="M6" s="145"/>
      <c r="N6" s="147"/>
      <c r="O6" s="147"/>
      <c r="P6" s="7">
        <f>DATE(YEAR(P5+G14),MONTH(P5 + G14),DAY(P5 +G14))</f>
        <v>44696</v>
      </c>
      <c r="Q6" s="7"/>
    </row>
    <row r="7" spans="3:19" ht="13.8" x14ac:dyDescent="0.3">
      <c r="C7" s="143" t="s">
        <v>21</v>
      </c>
      <c r="D7" s="6"/>
      <c r="E7" s="6"/>
      <c r="F7" s="6"/>
      <c r="G7" s="144">
        <v>0</v>
      </c>
      <c r="K7" s="5" t="s">
        <v>25</v>
      </c>
      <c r="L7" s="5"/>
      <c r="M7" s="5"/>
      <c r="N7" s="3"/>
      <c r="O7" s="3"/>
      <c r="P7" s="8">
        <f>DATE(YEAR(EDATE(P6,1)),MONTH(EDATE(P6,1)),DAY(EDATE(P6,1)))</f>
        <v>44727</v>
      </c>
      <c r="Q7" s="7"/>
    </row>
    <row r="8" spans="3:19" ht="13.8" x14ac:dyDescent="0.3">
      <c r="C8" s="143" t="s">
        <v>22</v>
      </c>
      <c r="D8" s="6"/>
      <c r="E8" s="6"/>
      <c r="F8" s="6"/>
      <c r="G8" s="148">
        <f>+RESUMEN!$C$3</f>
        <v>13.5</v>
      </c>
      <c r="H8" s="143" t="s">
        <v>82</v>
      </c>
      <c r="I8" s="149">
        <f>G8</f>
        <v>13.5</v>
      </c>
      <c r="K8" s="5" t="s">
        <v>26</v>
      </c>
      <c r="L8" s="5"/>
      <c r="M8" s="5"/>
      <c r="N8" s="3"/>
      <c r="O8" s="3"/>
      <c r="P8" s="8">
        <f>IF(OR($G$16&gt;0,$G$17&gt;0),VLOOKUP($G$12,$A$32:$C$120,3,0),DATE(YEAR(EDATE(P6,G12)),MONTH(EDATE(P6,G12)),DAY(EDATE(P6,G12))))</f>
        <v>46522</v>
      </c>
      <c r="Q8" s="7"/>
    </row>
    <row r="9" spans="3:19" ht="13.8" x14ac:dyDescent="0.3">
      <c r="C9" s="143" t="s">
        <v>83</v>
      </c>
      <c r="D9" s="6"/>
      <c r="E9" s="6"/>
      <c r="F9" s="6"/>
      <c r="G9" s="150">
        <f>+RESUMEN!$C$4</f>
        <v>1.4999999999999999E-4</v>
      </c>
      <c r="K9" s="5" t="s">
        <v>9</v>
      </c>
      <c r="L9" s="5"/>
      <c r="M9" s="5"/>
      <c r="N9" s="3"/>
      <c r="O9" s="3"/>
      <c r="P9" s="5">
        <v>360</v>
      </c>
      <c r="Q9" s="5"/>
      <c r="R9" s="9"/>
    </row>
    <row r="10" spans="3:19" ht="13.8" x14ac:dyDescent="0.3">
      <c r="C10" s="143"/>
      <c r="D10" s="6"/>
      <c r="E10" s="6"/>
      <c r="F10" s="6"/>
      <c r="G10" s="144"/>
      <c r="K10" s="5" t="s">
        <v>27</v>
      </c>
      <c r="L10" s="5"/>
      <c r="M10" s="5"/>
      <c r="N10" s="3"/>
      <c r="O10" s="3"/>
      <c r="P10" s="5">
        <v>30</v>
      </c>
      <c r="Q10" s="5"/>
    </row>
    <row r="11" spans="3:19" ht="13.8" x14ac:dyDescent="0.3">
      <c r="C11" s="143" t="s">
        <v>84</v>
      </c>
      <c r="D11" s="6"/>
      <c r="E11" s="6"/>
      <c r="F11" s="6"/>
      <c r="G11" s="144">
        <f>+RESUMEN!$C$7</f>
        <v>3.03</v>
      </c>
      <c r="K11" s="5" t="s">
        <v>85</v>
      </c>
      <c r="L11" s="5"/>
      <c r="M11" s="5"/>
      <c r="N11" s="3"/>
      <c r="O11" s="3"/>
      <c r="P11" s="151">
        <f>ROUND((((G8/100+1)^(1/(P9/P10))-1)*P9/P10)*100,6)</f>
        <v>12.730316999999999</v>
      </c>
      <c r="Q11" s="10" t="s">
        <v>39</v>
      </c>
    </row>
    <row r="12" spans="3:19" ht="13.8" x14ac:dyDescent="0.3">
      <c r="C12" s="143" t="s">
        <v>111</v>
      </c>
      <c r="D12" s="6"/>
      <c r="E12" s="6"/>
      <c r="F12" s="6"/>
      <c r="G12" s="255">
        <f>+G13-VLOOKUP($G$13,'Calculos Original'!$A$4:$H$99,8,0)</f>
        <v>50</v>
      </c>
      <c r="H12" s="225">
        <f>+G12</f>
        <v>50</v>
      </c>
      <c r="K12" s="5" t="s">
        <v>28</v>
      </c>
      <c r="L12" s="5"/>
      <c r="M12" s="5"/>
      <c r="N12" s="3"/>
      <c r="O12" s="3"/>
      <c r="P12" s="10">
        <f>(P8-P6)/G12</f>
        <v>36.520000000000003</v>
      </c>
      <c r="Q12" s="10" t="s">
        <v>41</v>
      </c>
    </row>
    <row r="13" spans="3:19" ht="13.8" x14ac:dyDescent="0.3">
      <c r="C13" s="143" t="s">
        <v>51</v>
      </c>
      <c r="D13" s="6"/>
      <c r="E13" s="6"/>
      <c r="F13" s="6"/>
      <c r="G13" s="152">
        <f>+RESUMEN!$C$5</f>
        <v>60</v>
      </c>
      <c r="K13" s="5" t="s">
        <v>86</v>
      </c>
      <c r="L13" s="5"/>
      <c r="M13" s="5"/>
      <c r="N13" s="5"/>
      <c r="O13" s="5"/>
      <c r="P13" s="153">
        <f>($P$11/100)/($P$9/$P$12)</f>
        <v>1.2914199356666668E-2</v>
      </c>
      <c r="Q13" s="11" t="s">
        <v>40</v>
      </c>
    </row>
    <row r="14" spans="3:19" ht="13.8" x14ac:dyDescent="0.3">
      <c r="C14" s="154" t="s">
        <v>23</v>
      </c>
      <c r="D14" s="6"/>
      <c r="E14" s="6"/>
      <c r="F14" s="6"/>
      <c r="G14" s="152">
        <f>+RESUMEN!$C$8</f>
        <v>17</v>
      </c>
      <c r="K14" s="5" t="s">
        <v>87</v>
      </c>
      <c r="L14" s="5"/>
      <c r="M14" s="5"/>
      <c r="N14" s="5"/>
      <c r="O14" s="5"/>
      <c r="P14" s="11">
        <f>1/((1-((1+$P$13)^(-1*$G$12)))/$P$13)</f>
        <v>2.727172817939184E-2</v>
      </c>
      <c r="Q14" s="12" t="s">
        <v>42</v>
      </c>
    </row>
    <row r="15" spans="3:19" ht="13.8" x14ac:dyDescent="0.3">
      <c r="C15" s="155" t="s">
        <v>88</v>
      </c>
      <c r="D15" s="6"/>
      <c r="E15" s="6"/>
      <c r="F15" s="6"/>
      <c r="G15" s="156"/>
      <c r="K15" s="145" t="s">
        <v>89</v>
      </c>
      <c r="L15" s="145"/>
      <c r="M15" s="145"/>
      <c r="N15" s="145"/>
      <c r="O15" s="145"/>
      <c r="P15" s="157">
        <f>IF(G14&gt;0,ROUND(G6*(((1+G8/100)^(ABS(G14)/P9))-1),4),ROUND(G6*(((1+G8/100)^(ABS(G14)/P9))-1),4) * -1)</f>
        <v>198.227</v>
      </c>
      <c r="Q15" s="6" t="s">
        <v>43</v>
      </c>
    </row>
    <row r="16" spans="3:19" ht="13.8" x14ac:dyDescent="0.3">
      <c r="C16" s="155" t="s">
        <v>10</v>
      </c>
      <c r="D16" s="6"/>
      <c r="E16" s="6"/>
      <c r="F16" s="6"/>
      <c r="G16" s="152">
        <f>+RESUMEN!$C$9</f>
        <v>1</v>
      </c>
      <c r="K16" s="5" t="s">
        <v>29</v>
      </c>
      <c r="L16" s="5"/>
      <c r="M16" s="5"/>
      <c r="N16" s="3"/>
      <c r="O16" s="3"/>
      <c r="P16" s="155">
        <f>IF(G7 + P15&gt;0,G7+ P15,0)</f>
        <v>198.227</v>
      </c>
    </row>
    <row r="17" spans="1:28" ht="13.8" x14ac:dyDescent="0.3">
      <c r="C17" s="143" t="s">
        <v>11</v>
      </c>
      <c r="D17" s="6"/>
      <c r="E17" s="6"/>
      <c r="F17" s="6"/>
      <c r="G17" s="152">
        <f>+RESUMEN!$C$10</f>
        <v>6</v>
      </c>
    </row>
    <row r="18" spans="1:28" ht="13.8" x14ac:dyDescent="0.3">
      <c r="C18" s="155" t="s">
        <v>46</v>
      </c>
      <c r="D18" s="6"/>
      <c r="E18" s="6"/>
      <c r="F18" s="6"/>
      <c r="G18" s="152">
        <v>0</v>
      </c>
      <c r="K18" s="158" t="s">
        <v>90</v>
      </c>
      <c r="P18" s="159">
        <f>IF(G14&gt;0,ROUNDDOWN(G5 * G9/30*G14,2),0)</f>
        <v>2.8</v>
      </c>
      <c r="R18" s="93"/>
    </row>
    <row r="19" spans="1:28" ht="13.8" x14ac:dyDescent="0.3">
      <c r="C19" s="143" t="s">
        <v>47</v>
      </c>
      <c r="D19" s="6"/>
      <c r="E19" s="6"/>
      <c r="F19" s="6" t="s">
        <v>52</v>
      </c>
      <c r="G19" s="152">
        <v>0</v>
      </c>
      <c r="S19" s="4">
        <v>994.12</v>
      </c>
    </row>
    <row r="20" spans="1:28" ht="14.4" thickBot="1" x14ac:dyDescent="0.35">
      <c r="C20" s="5"/>
      <c r="D20" s="6"/>
      <c r="E20" s="6"/>
      <c r="F20" s="6"/>
      <c r="G20" s="95"/>
      <c r="I20" s="96" t="s">
        <v>91</v>
      </c>
      <c r="S20" s="4">
        <v>976.59</v>
      </c>
    </row>
    <row r="21" spans="1:28" ht="13.5" customHeight="1" thickBot="1" x14ac:dyDescent="0.35">
      <c r="C21" s="5"/>
      <c r="D21" s="6"/>
      <c r="E21" s="6"/>
      <c r="F21" s="5"/>
      <c r="G21" s="1"/>
      <c r="I21" s="6"/>
      <c r="N21" s="160"/>
      <c r="O21" s="161"/>
      <c r="P21" s="161"/>
      <c r="Q21" s="162"/>
      <c r="R21" s="4">
        <f>VLOOKUP(H12,$E$31:$R$103,14,FALSE)</f>
        <v>-6394.42</v>
      </c>
      <c r="S21" s="4">
        <f>S19-S20</f>
        <v>17.529999999999973</v>
      </c>
    </row>
    <row r="22" spans="1:28" ht="13.8" x14ac:dyDescent="0.3">
      <c r="C22" s="5"/>
      <c r="D22" s="163"/>
      <c r="E22" s="164"/>
      <c r="F22" s="164"/>
      <c r="G22" s="164"/>
      <c r="H22" s="165"/>
      <c r="I22" s="165" t="s">
        <v>102</v>
      </c>
      <c r="J22" s="166" t="s">
        <v>103</v>
      </c>
      <c r="L22" s="14" t="s">
        <v>48</v>
      </c>
      <c r="N22" s="167" t="s">
        <v>34</v>
      </c>
      <c r="O22" s="3"/>
      <c r="P22" s="168">
        <f>VLOOKUP(H12,$E$31:$R$103,14,FALSE) - VLOOKUP(H12,$E$31:$T$103,16,FALSE)</f>
        <v>-6394.42</v>
      </c>
      <c r="Q22" s="169"/>
      <c r="R22" s="4">
        <f>-VLOOKUP(H12,$E$31:$T$103,16,FALSE)</f>
        <v>0</v>
      </c>
    </row>
    <row r="23" spans="1:28" ht="13.8" x14ac:dyDescent="0.3">
      <c r="C23" s="5"/>
      <c r="D23" s="170"/>
      <c r="E23" s="15"/>
      <c r="F23" s="16" t="s">
        <v>30</v>
      </c>
      <c r="G23" s="15"/>
      <c r="H23" s="15"/>
      <c r="I23" s="171">
        <f>$P$16/($H$12*(1/((1+0)^($P$10/$P$9))))</f>
        <v>3.96454</v>
      </c>
      <c r="J23" s="171">
        <f ca="1">P16/SUM(W32:INDIRECT(CONCATENATE("V",32+H12-1)))</f>
        <v>4.2082369971279095E-3</v>
      </c>
      <c r="L23" s="13"/>
      <c r="M23" s="13"/>
      <c r="N23" s="167" t="s">
        <v>35</v>
      </c>
      <c r="O23" s="3"/>
      <c r="P23" s="168">
        <f>P8-P6</f>
        <v>1826</v>
      </c>
      <c r="Q23" s="169"/>
      <c r="S23" s="13"/>
    </row>
    <row r="24" spans="1:28" ht="13.8" x14ac:dyDescent="0.3">
      <c r="C24" s="5"/>
      <c r="D24" s="170"/>
      <c r="E24" s="15"/>
      <c r="F24" s="16" t="s">
        <v>31</v>
      </c>
      <c r="G24" s="15"/>
      <c r="H24" s="15"/>
      <c r="I24" s="171">
        <f>ROUND(IF(OR(G16 + G17 &gt; 0,G18 + G19&gt;0), ROUNDUP(G6/VLOOKUP(G12,'Calculos Original'!$A$3:$G$99,7,FALSE),2),G6*$P$14),2)</f>
        <v>1100</v>
      </c>
      <c r="J24" s="172" t="s">
        <v>94</v>
      </c>
      <c r="K24" s="3" t="s">
        <v>95</v>
      </c>
      <c r="N24" s="167" t="s">
        <v>36</v>
      </c>
      <c r="O24" s="3"/>
      <c r="P24" s="168">
        <f>ROUND(+P22/ROUND(1*(((1+G8/100)^(P23/P9))-1),4),2)</f>
        <v>-7097.81</v>
      </c>
      <c r="Q24" s="169"/>
      <c r="R24" s="236">
        <f>+(((1+G8/100)^(P23/P9))-1)</f>
        <v>0.90086481066181934</v>
      </c>
      <c r="S24" s="237">
        <f>+P22/R24</f>
        <v>-7098.090550681346</v>
      </c>
    </row>
    <row r="25" spans="1:28" ht="13.8" x14ac:dyDescent="0.3">
      <c r="C25" s="7"/>
      <c r="D25" s="170"/>
      <c r="E25" s="15"/>
      <c r="F25" s="16" t="s">
        <v>33</v>
      </c>
      <c r="G25" s="15"/>
      <c r="H25" s="15"/>
      <c r="I25" s="171">
        <f>ROUNDDOWN($G$5*$G$9,2)</f>
        <v>4.95</v>
      </c>
      <c r="J25" s="171">
        <f>((I25*G12) + P18)/G12</f>
        <v>5.0060000000000002</v>
      </c>
      <c r="K25" s="171">
        <f>J25-I25</f>
        <v>5.600000000000005E-2</v>
      </c>
      <c r="L25" s="13"/>
      <c r="M25" s="13"/>
      <c r="N25" s="167" t="s">
        <v>37</v>
      </c>
      <c r="O25" s="3"/>
      <c r="P25" s="240">
        <f>P24*P14</f>
        <v>-193.5695449889692</v>
      </c>
      <c r="Q25" s="169"/>
      <c r="R25" s="4" t="s">
        <v>104</v>
      </c>
    </row>
    <row r="26" spans="1:28" ht="13.8" x14ac:dyDescent="0.3">
      <c r="C26" s="17"/>
      <c r="D26" s="170"/>
      <c r="E26" s="15"/>
      <c r="F26" s="16" t="s">
        <v>96</v>
      </c>
      <c r="G26" s="15"/>
      <c r="H26" s="15"/>
      <c r="I26" s="171">
        <f>$G$11</f>
        <v>3.03</v>
      </c>
      <c r="J26" s="172"/>
      <c r="K26" s="13"/>
      <c r="N26" s="167" t="s">
        <v>38</v>
      </c>
      <c r="P26" s="173">
        <f>SUM(S32:S46)</f>
        <v>0</v>
      </c>
      <c r="Q26" s="174">
        <f>ROUND(IF(G16+ G17&gt; 0,ROUNDUP($P$26/VLOOKUP(G12,'Calculos Original'!$A$3:$G$99,7,FALSE),2),$P$26*$P$14),2)</f>
        <v>0</v>
      </c>
      <c r="R26" s="175">
        <v>0</v>
      </c>
      <c r="S26" s="13"/>
    </row>
    <row r="27" spans="1:28" ht="13.8" x14ac:dyDescent="0.3">
      <c r="C27" s="5"/>
      <c r="D27" s="170"/>
      <c r="E27" s="15"/>
      <c r="F27" s="15"/>
      <c r="G27" s="15"/>
      <c r="H27" s="15"/>
      <c r="I27" s="176"/>
      <c r="J27" s="172"/>
      <c r="K27" s="13"/>
      <c r="L27" s="13"/>
      <c r="M27" s="13"/>
      <c r="N27" s="248" t="s">
        <v>110</v>
      </c>
      <c r="O27" s="249"/>
      <c r="P27" s="250">
        <f>+P22/G12</f>
        <v>-127.8884</v>
      </c>
      <c r="Q27" s="169"/>
    </row>
    <row r="28" spans="1:28" ht="40.5" customHeight="1" x14ac:dyDescent="0.4">
      <c r="D28" s="170"/>
      <c r="E28" s="15"/>
      <c r="F28" s="16" t="s">
        <v>32</v>
      </c>
      <c r="G28" s="15"/>
      <c r="H28" s="15"/>
      <c r="I28" s="171">
        <f>I23+I24+I25+I26</f>
        <v>1111.94454</v>
      </c>
      <c r="J28" s="171">
        <f>I23+I24+J25+I26</f>
        <v>1112.00054</v>
      </c>
      <c r="K28" s="18"/>
      <c r="L28" s="18"/>
      <c r="M28" s="18"/>
      <c r="N28" s="179" t="s">
        <v>97</v>
      </c>
      <c r="O28" s="180"/>
      <c r="P28" s="181">
        <v>-101.92553571428589</v>
      </c>
      <c r="Q28" s="182"/>
      <c r="R28" s="241">
        <f>+R55</f>
        <v>17294.13</v>
      </c>
      <c r="S28" s="93" t="s">
        <v>107</v>
      </c>
    </row>
    <row r="29" spans="1:28" ht="14.4" thickBot="1" x14ac:dyDescent="0.35">
      <c r="C29" s="5"/>
      <c r="D29" s="183"/>
      <c r="E29" s="184"/>
      <c r="F29" s="184"/>
      <c r="G29" s="184"/>
      <c r="H29" s="184"/>
      <c r="I29" s="184"/>
      <c r="J29" s="185"/>
      <c r="K29" s="19">
        <f>+(IF(ISERROR(MATCH(MONTH(C37),$G$18:$G$19,0))=FALSE,$I$24 + $P$28,0) + $I$24+$P$28+$R$26)-K37</f>
        <v>678.03446428571419</v>
      </c>
      <c r="L29" s="19"/>
      <c r="M29" s="19"/>
      <c r="N29" s="186"/>
      <c r="O29" s="187"/>
      <c r="P29" s="187"/>
      <c r="Q29" s="188"/>
      <c r="S29" s="9" t="s">
        <v>109</v>
      </c>
    </row>
    <row r="30" spans="1:28" ht="13.8" x14ac:dyDescent="0.3">
      <c r="C30" s="116" t="s">
        <v>99</v>
      </c>
      <c r="D30" s="15"/>
      <c r="E30" s="15"/>
      <c r="F30" s="15"/>
      <c r="G30" s="15"/>
      <c r="H30" s="15"/>
      <c r="I30" s="15"/>
      <c r="J30" s="54"/>
      <c r="K30" s="58"/>
      <c r="L30" s="58"/>
      <c r="M30" s="58"/>
      <c r="N30" s="3"/>
      <c r="O30" s="3"/>
      <c r="P30" s="3"/>
      <c r="Q30" s="246">
        <v>2509.2579708333333</v>
      </c>
      <c r="R30" s="247">
        <f>+Q32-Q30</f>
        <v>-1499.2389665476189</v>
      </c>
      <c r="V30" s="5" t="s">
        <v>56</v>
      </c>
    </row>
    <row r="31" spans="1:28" ht="43.5" customHeight="1" x14ac:dyDescent="0.2">
      <c r="C31" s="20" t="s">
        <v>6</v>
      </c>
      <c r="D31" s="20" t="s">
        <v>50</v>
      </c>
      <c r="E31" s="20" t="s">
        <v>5</v>
      </c>
      <c r="F31" s="20" t="s">
        <v>4</v>
      </c>
      <c r="G31" s="20" t="s">
        <v>1</v>
      </c>
      <c r="H31" s="20" t="s">
        <v>7</v>
      </c>
      <c r="I31" s="20" t="s">
        <v>3</v>
      </c>
      <c r="J31" s="20" t="s">
        <v>0</v>
      </c>
      <c r="K31" s="20" t="s">
        <v>2</v>
      </c>
      <c r="L31" s="20" t="s">
        <v>44</v>
      </c>
      <c r="M31" s="20" t="s">
        <v>45</v>
      </c>
      <c r="N31" s="20" t="s">
        <v>75</v>
      </c>
      <c r="O31" s="20" t="s">
        <v>100</v>
      </c>
      <c r="P31" s="20" t="s">
        <v>101</v>
      </c>
      <c r="Q31" s="20" t="s">
        <v>32</v>
      </c>
      <c r="R31" s="20" t="s">
        <v>8</v>
      </c>
      <c r="S31" s="20" t="s">
        <v>49</v>
      </c>
      <c r="T31" s="20" t="s">
        <v>61</v>
      </c>
      <c r="V31" s="20" t="s">
        <v>57</v>
      </c>
      <c r="W31" s="20" t="s">
        <v>58</v>
      </c>
      <c r="X31" s="20" t="s">
        <v>3</v>
      </c>
      <c r="Y31" s="20" t="s">
        <v>0</v>
      </c>
      <c r="Z31" s="20" t="s">
        <v>2</v>
      </c>
      <c r="AA31" s="20" t="s">
        <v>59</v>
      </c>
      <c r="AB31" s="20" t="s">
        <v>60</v>
      </c>
    </row>
    <row r="32" spans="1:28" ht="13.8" x14ac:dyDescent="0.3">
      <c r="A32" s="24">
        <v>1</v>
      </c>
      <c r="B32" s="24">
        <v>1</v>
      </c>
      <c r="C32" s="8">
        <f>DATE(YEAR(EDATE($P$6,D32)),MONTH(EDATE($P$6,D32)),DAY(EDATE($P$6,D32)))</f>
        <v>44757</v>
      </c>
      <c r="D32" s="25">
        <f>IF(OR(MONTH(P7)=G16, MONTH(P7)=G17),IF(ABS(G17-G16)=1,3,2),1)</f>
        <v>2</v>
      </c>
      <c r="E32" s="25">
        <f>1</f>
        <v>1</v>
      </c>
      <c r="F32" s="26">
        <f t="shared" ref="F32:F55" si="0">$P$9</f>
        <v>360</v>
      </c>
      <c r="G32" s="189">
        <f>$G$8</f>
        <v>13.5</v>
      </c>
      <c r="H32" s="25">
        <f>C32-P6</f>
        <v>61</v>
      </c>
      <c r="I32" s="22">
        <f>G6</f>
        <v>33050</v>
      </c>
      <c r="J32" s="222">
        <f>IF((IF(ISERROR(MATCH(MONTH(C32),$G$18:$G$19,0))=FALSE,$I$24 + $P$28,0) + $I$24+$P$28+$R$26)-K32-T32&lt;0,0.01,IF(ISERROR(MATCH(MONTH(C32),$G$18:$G$19,0))=FALSE,$I$24 + $P$28,0)+ ($I$24+$P$28+$R$26)-K32- T32)</f>
        <v>273.50446428571411</v>
      </c>
      <c r="K32" s="190">
        <f>IF($I$24+$P$28 + $R$26&lt;ROUND(ROUND(I32*(((1+(G32/100))^(H32/F32))-1),4),2),$I$24+$P$28 + $R$26-0.01,IF(ROUND(ROUND(I32*(((1+(G32/100))^(H32/F32))-1),4),2)+ $R$26&gt;$I$24,$I$24+ $R$26+-0.01,ROUND(ROUND(I32*(((1+(G32/100))^(H32/F32))-1),4),2)+$R$26))</f>
        <v>716.82</v>
      </c>
      <c r="L32" s="191">
        <f t="shared" ref="L32:L55" si="1">IF(ISERROR(MATCH(MONTH(C32),$G$18:$G$19,0))=FALSE,$I$23,0)  + $I$23</f>
        <v>3.96454</v>
      </c>
      <c r="M32" s="191">
        <f>K32+L32</f>
        <v>720.78454000000011</v>
      </c>
      <c r="N32" s="21">
        <f t="shared" ref="N32:N55" si="2">J32+K32 + L32</f>
        <v>994.28900428571421</v>
      </c>
      <c r="O32" s="21">
        <f t="shared" ref="O32:O55" si="3">$I$26</f>
        <v>3.03</v>
      </c>
      <c r="P32" s="21">
        <f>$I$25 + T32</f>
        <v>12.7</v>
      </c>
      <c r="Q32" s="242">
        <f t="shared" ref="Q32:Q55" si="4">N32+O32+P32</f>
        <v>1010.0190042857142</v>
      </c>
      <c r="R32" s="22">
        <f t="shared" ref="R32:R55" si="5">ROUND(I32-J32,2)</f>
        <v>32776.5</v>
      </c>
      <c r="S32" s="22">
        <f t="shared" ref="S32:S55" si="6">IF(ROUND(ROUND(I32*(((1+(G32/100))^(H32/F32))-1),4),2) - $I$24&lt;0,0,ROUND(ROUND(I32*(((1+(G32/100))^(H32/F32))-1),4),2) - $I$24)</f>
        <v>0</v>
      </c>
      <c r="T32" s="193">
        <f>(D32-E32)*ROUNDDOWN($G$5*$G$9/30*30,2) + ROUNDDOWN($G$5*$G$9/30*G14,2)</f>
        <v>7.75</v>
      </c>
      <c r="U32" s="237">
        <v>2969.5313041666668</v>
      </c>
      <c r="V32" s="25">
        <f>H32</f>
        <v>61</v>
      </c>
      <c r="W32" s="194">
        <f>1/((1+($I$8/100))^(V32/$P$9))*1</f>
        <v>0.97877136878402082</v>
      </c>
      <c r="X32" s="21">
        <f>P16</f>
        <v>198.227</v>
      </c>
      <c r="Y32" s="21">
        <f ca="1">AA32-Z32</f>
        <v>-4.2951491147384724</v>
      </c>
      <c r="Z32" s="26">
        <f>(((1+($I$8/100))^((H32)/$P$9))-1)*X32</f>
        <v>4.2993573517356003</v>
      </c>
      <c r="AA32" s="21">
        <f ca="1">$J$23</f>
        <v>4.2082369971279095E-3</v>
      </c>
      <c r="AB32" s="21">
        <f ca="1">X32-Y32</f>
        <v>202.52214911473848</v>
      </c>
    </row>
    <row r="33" spans="1:28" ht="13.8" x14ac:dyDescent="0.3">
      <c r="A33" s="24">
        <f t="shared" ref="A33:A64" si="7">+IF(A32&gt;=$G$12,"",A32+1)</f>
        <v>2</v>
      </c>
      <c r="B33" s="24">
        <f>IF(A33="","",IF(A33&lt;=$H$21,0,1))</f>
        <v>1</v>
      </c>
      <c r="C33" s="8">
        <f>DATE(YEAR(EDATE($P$6,D33)),MONTH(EDATE($P$6,D33)),DAY(EDATE($P$6,D33)))</f>
        <v>44788</v>
      </c>
      <c r="D33" s="25">
        <f>IF(OR(MONTH(DATE(YEAR(C32) + 1/12,MONTH(C32)+1,DAY(C32)))=$G$16,MONTH(DATE(YEAR(C32) + 1/12,MONTH(C32)+1,DAY(C32)))=$G$17),IF(ABS($G$17-$G$16)=1,D32+1,D32 + 2),D32 + 1)</f>
        <v>3</v>
      </c>
      <c r="E33" s="25">
        <f>E32+1</f>
        <v>2</v>
      </c>
      <c r="F33" s="26">
        <f t="shared" si="0"/>
        <v>360</v>
      </c>
      <c r="G33" s="189">
        <f t="shared" ref="G33:G55" si="8">$G$8</f>
        <v>13.5</v>
      </c>
      <c r="H33" s="25">
        <f>C33-C32</f>
        <v>31</v>
      </c>
      <c r="I33" s="22">
        <f t="shared" ref="I33:I55" si="9">+R32</f>
        <v>32776.5</v>
      </c>
      <c r="J33" s="190">
        <f t="shared" ref="J33:J55" si="10">IF((IF(ISERROR(MATCH(MONTH(C33),$G$18:$G$19,0))=FALSE,$I$24 + $P$28,0) + $I$24+$P$28+$R$26)-K33-T33&lt;0,0.01,IF(ISERROR(MATCH(MONTH(C33),$G$18:$G$19,0))=FALSE,$I$24 + $P$28,0)+ ($I$24+$P$28+$R$26)-K33- T33)</f>
        <v>638.70446428571415</v>
      </c>
      <c r="K33" s="190">
        <f t="shared" ref="K33:K55" si="11">IF($I$24+$P$28 + $R$26&lt;ROUND(ROUND(I33*(((1+(G33/100))^(H33/F33))-1),4),2),$I$24+$P$28 + $R$26-0.01,IF(ROUND(ROUND(I33*(((1+(G33/100))^(H33/F33))-1),4),2)+ $R$26&gt;$I$24,$I$24+ $R$26+-0.01,ROUND(ROUND(I33*(((1+(G33/100))^(H33/F33))-1),4),2)+$R$26))</f>
        <v>359.37</v>
      </c>
      <c r="L33" s="191">
        <f t="shared" si="1"/>
        <v>3.96454</v>
      </c>
      <c r="M33" s="191">
        <f t="shared" ref="M33:M55" si="12">K33+L33</f>
        <v>363.33454</v>
      </c>
      <c r="N33" s="21">
        <f t="shared" si="2"/>
        <v>1002.0390042857142</v>
      </c>
      <c r="O33" s="21">
        <f t="shared" si="3"/>
        <v>3.03</v>
      </c>
      <c r="P33" s="21">
        <f>$I$25 + T33</f>
        <v>4.95</v>
      </c>
      <c r="Q33" s="243">
        <f t="shared" si="4"/>
        <v>1010.0190042857142</v>
      </c>
      <c r="R33" s="22">
        <f t="shared" si="5"/>
        <v>32137.8</v>
      </c>
      <c r="S33" s="22">
        <f t="shared" si="6"/>
        <v>0</v>
      </c>
      <c r="T33" s="193">
        <f>IF(D33-D32&gt;1,ROUNDDOWN($G$5*$G$9/30*30,2),0)</f>
        <v>0</v>
      </c>
      <c r="U33" s="237">
        <v>2969.5313041666664</v>
      </c>
      <c r="V33" s="25">
        <f>V32+H33</f>
        <v>92</v>
      </c>
      <c r="W33" s="194">
        <f t="shared" ref="W33:W96" si="13">1/((1+($I$8/100))^(V33/$P$9))*1</f>
        <v>0.9681563584156927</v>
      </c>
      <c r="X33" s="21">
        <f ca="1">AB32</f>
        <v>202.52214911473848</v>
      </c>
      <c r="Y33" s="21">
        <f ca="1">AA33-Z33</f>
        <v>-2.2162747397267699</v>
      </c>
      <c r="Z33" s="26">
        <f ca="1">(((1+($I$8/100))^((H33)/$P$9))-1)*X33</f>
        <v>2.2204829767238978</v>
      </c>
      <c r="AA33" s="21">
        <f t="shared" ref="AA33:AA96" ca="1" si="14">$J$23</f>
        <v>4.2082369971279095E-3</v>
      </c>
      <c r="AB33" s="21">
        <f ca="1">X33-Y33</f>
        <v>204.73842385446525</v>
      </c>
    </row>
    <row r="34" spans="1:28" ht="13.8" x14ac:dyDescent="0.3">
      <c r="A34" s="24">
        <f t="shared" si="7"/>
        <v>3</v>
      </c>
      <c r="B34" s="24">
        <f>IF(A34="","",IF(A34&lt;=$H$21,0,1))</f>
        <v>1</v>
      </c>
      <c r="C34" s="8">
        <f>DATE(YEAR(EDATE($P$6,D34)),MONTH(EDATE($P$6,D34)),DAY(EDATE($P$6,D34)))</f>
        <v>44819</v>
      </c>
      <c r="D34" s="25">
        <f t="shared" ref="D34:D55" si="15">IF(OR(MONTH(DATE(YEAR(C33) + 1/12,MONTH(C33)+1,DAY(C33)))=$G$16,MONTH(DATE(YEAR(C33) + 1/12,MONTH(C33)+1,DAY(C33)))=$G$17),IF(ABS($G$17-$G$16)=1,D33+1,D33 + 2),D33 + 1)</f>
        <v>4</v>
      </c>
      <c r="E34" s="25">
        <f t="shared" ref="E34:E55" si="16">E33+1</f>
        <v>3</v>
      </c>
      <c r="F34" s="26">
        <f t="shared" si="0"/>
        <v>360</v>
      </c>
      <c r="G34" s="189">
        <f t="shared" si="8"/>
        <v>13.5</v>
      </c>
      <c r="H34" s="25">
        <f t="shared" ref="H34:H55" si="17">C34-C33</f>
        <v>31</v>
      </c>
      <c r="I34" s="22">
        <f t="shared" si="9"/>
        <v>32137.8</v>
      </c>
      <c r="J34" s="190">
        <f t="shared" si="10"/>
        <v>645.71446428571414</v>
      </c>
      <c r="K34" s="190">
        <f t="shared" si="11"/>
        <v>352.36</v>
      </c>
      <c r="L34" s="191">
        <f t="shared" si="1"/>
        <v>3.96454</v>
      </c>
      <c r="M34" s="191">
        <f t="shared" si="12"/>
        <v>356.32454000000001</v>
      </c>
      <c r="N34" s="21">
        <f t="shared" si="2"/>
        <v>1002.0390042857142</v>
      </c>
      <c r="O34" s="21">
        <f t="shared" si="3"/>
        <v>3.03</v>
      </c>
      <c r="P34" s="21">
        <f t="shared" ref="P34:P55" si="18">$I$25 + T34</f>
        <v>4.95</v>
      </c>
      <c r="Q34" s="243">
        <f t="shared" si="4"/>
        <v>1010.0190042857142</v>
      </c>
      <c r="R34" s="22">
        <f t="shared" si="5"/>
        <v>31492.09</v>
      </c>
      <c r="S34" s="22">
        <f t="shared" si="6"/>
        <v>0</v>
      </c>
      <c r="T34" s="193">
        <f t="shared" ref="T34:T55" si="19">IF(D34-D33&gt;1,ROUNDDOWN($G$5*$G$9/30*30,2),0)</f>
        <v>0</v>
      </c>
      <c r="U34" s="238">
        <v>2969.5313041666664</v>
      </c>
      <c r="V34" s="25">
        <f t="shared" ref="V34:V97" si="20">V33+H34</f>
        <v>123</v>
      </c>
      <c r="W34" s="194">
        <f t="shared" si="13"/>
        <v>0.95765647038207258</v>
      </c>
      <c r="X34" s="21">
        <f t="shared" ref="X34:X97" ca="1" si="21">AB33</f>
        <v>204.73842385446525</v>
      </c>
      <c r="Y34" s="21">
        <f t="shared" ref="Y34:Y97" ca="1" si="22">AA34-Z34</f>
        <v>-2.2405743057387739</v>
      </c>
      <c r="Z34" s="26">
        <f t="shared" ref="Z34:Z97" ca="1" si="23">(((1+($I$8/100))^((H34)/$P$9))-1)*X34</f>
        <v>2.2447825427359018</v>
      </c>
      <c r="AA34" s="21">
        <f t="shared" ca="1" si="14"/>
        <v>4.2082369971279095E-3</v>
      </c>
      <c r="AB34" s="21">
        <f t="shared" ref="AB34:AB97" ca="1" si="24">X34-Y34</f>
        <v>206.97899816020401</v>
      </c>
    </row>
    <row r="35" spans="1:28" ht="13.8" x14ac:dyDescent="0.3">
      <c r="A35" s="24">
        <f t="shared" si="7"/>
        <v>4</v>
      </c>
      <c r="B35" s="24">
        <f t="shared" ref="B35:B98" si="25">IF(A35="","",IF(A35&lt;=$H$21,0,1))</f>
        <v>1</v>
      </c>
      <c r="C35" s="8">
        <f t="shared" ref="C35:C55" si="26">DATE(YEAR(EDATE($P$6,D35)),MONTH(EDATE($P$6,D35)),DAY(EDATE($P$6,D35)))</f>
        <v>44849</v>
      </c>
      <c r="D35" s="25">
        <f>IF(OR(MONTH(DATE(YEAR(C34) + 1/12,MONTH(C34)+1,DAY(C34)))=$G$16,MONTH(DATE(YEAR(C34) + 1/12,MONTH(C34)+1,DAY(C34)))=$G$17),IF(ABS($G$17-$G$16)=1,D34+1,D34 + 2),D34 + 1)</f>
        <v>5</v>
      </c>
      <c r="E35" s="25">
        <f t="shared" si="16"/>
        <v>4</v>
      </c>
      <c r="F35" s="26">
        <f t="shared" si="0"/>
        <v>360</v>
      </c>
      <c r="G35" s="189">
        <f t="shared" si="8"/>
        <v>13.5</v>
      </c>
      <c r="H35" s="25">
        <f t="shared" si="17"/>
        <v>30</v>
      </c>
      <c r="I35" s="22">
        <f t="shared" si="9"/>
        <v>31492.09</v>
      </c>
      <c r="J35" s="190">
        <f t="shared" si="10"/>
        <v>663.98446428571424</v>
      </c>
      <c r="K35" s="190">
        <f t="shared" si="11"/>
        <v>334.09</v>
      </c>
      <c r="L35" s="191">
        <f t="shared" si="1"/>
        <v>3.96454</v>
      </c>
      <c r="M35" s="191">
        <f t="shared" si="12"/>
        <v>338.05453999999997</v>
      </c>
      <c r="N35" s="21">
        <f t="shared" si="2"/>
        <v>1002.0390042857142</v>
      </c>
      <c r="O35" s="21">
        <f t="shared" si="3"/>
        <v>3.03</v>
      </c>
      <c r="P35" s="21">
        <f t="shared" si="18"/>
        <v>4.95</v>
      </c>
      <c r="Q35" s="243">
        <f t="shared" si="4"/>
        <v>1010.0190042857142</v>
      </c>
      <c r="R35" s="22">
        <f t="shared" si="5"/>
        <v>30828.11</v>
      </c>
      <c r="S35" s="22">
        <f t="shared" si="6"/>
        <v>0</v>
      </c>
      <c r="T35" s="193">
        <f t="shared" si="19"/>
        <v>0</v>
      </c>
      <c r="U35" s="237">
        <v>2969.5313041666664</v>
      </c>
      <c r="V35" s="25">
        <f t="shared" si="20"/>
        <v>153</v>
      </c>
      <c r="W35" s="194">
        <f t="shared" si="13"/>
        <v>0.94760372412348082</v>
      </c>
      <c r="X35" s="21">
        <f t="shared" ca="1" si="21"/>
        <v>206.97899816020401</v>
      </c>
      <c r="Y35" s="21">
        <f t="shared" ca="1" si="22"/>
        <v>-2.1915485929865075</v>
      </c>
      <c r="Z35" s="26">
        <f t="shared" ca="1" si="23"/>
        <v>2.1957568299836354</v>
      </c>
      <c r="AA35" s="21">
        <f t="shared" ca="1" si="14"/>
        <v>4.2082369971279095E-3</v>
      </c>
      <c r="AB35" s="21">
        <f t="shared" ca="1" si="24"/>
        <v>209.17054675319054</v>
      </c>
    </row>
    <row r="36" spans="1:28" ht="13.8" x14ac:dyDescent="0.3">
      <c r="A36" s="24">
        <f t="shared" si="7"/>
        <v>5</v>
      </c>
      <c r="B36" s="24">
        <f t="shared" si="25"/>
        <v>1</v>
      </c>
      <c r="C36" s="8">
        <f t="shared" si="26"/>
        <v>44880</v>
      </c>
      <c r="D36" s="25">
        <f t="shared" si="15"/>
        <v>6</v>
      </c>
      <c r="E36" s="25">
        <f t="shared" si="16"/>
        <v>5</v>
      </c>
      <c r="F36" s="26">
        <f t="shared" si="0"/>
        <v>360</v>
      </c>
      <c r="G36" s="189">
        <f t="shared" si="8"/>
        <v>13.5</v>
      </c>
      <c r="H36" s="25">
        <f t="shared" si="17"/>
        <v>31</v>
      </c>
      <c r="I36" s="22">
        <f t="shared" si="9"/>
        <v>30828.11</v>
      </c>
      <c r="J36" s="190">
        <f t="shared" si="10"/>
        <v>660.07446428571416</v>
      </c>
      <c r="K36" s="190">
        <f t="shared" si="11"/>
        <v>338</v>
      </c>
      <c r="L36" s="191">
        <f t="shared" si="1"/>
        <v>3.96454</v>
      </c>
      <c r="M36" s="191">
        <f t="shared" si="12"/>
        <v>341.96454</v>
      </c>
      <c r="N36" s="21">
        <f t="shared" si="2"/>
        <v>1002.0390042857142</v>
      </c>
      <c r="O36" s="21">
        <f t="shared" si="3"/>
        <v>3.03</v>
      </c>
      <c r="P36" s="21">
        <f t="shared" si="18"/>
        <v>4.95</v>
      </c>
      <c r="Q36" s="243">
        <f t="shared" si="4"/>
        <v>1010.0190042857142</v>
      </c>
      <c r="R36" s="22">
        <f t="shared" si="5"/>
        <v>30168.04</v>
      </c>
      <c r="S36" s="22">
        <f t="shared" si="6"/>
        <v>0</v>
      </c>
      <c r="T36" s="193">
        <f t="shared" si="19"/>
        <v>0</v>
      </c>
      <c r="U36" s="237">
        <v>2969.5313041666664</v>
      </c>
      <c r="V36" s="25">
        <f t="shared" si="20"/>
        <v>184</v>
      </c>
      <c r="W36" s="194">
        <f t="shared" si="13"/>
        <v>0.93732673434073555</v>
      </c>
      <c r="X36" s="21">
        <f t="shared" ca="1" si="21"/>
        <v>209.17054675319054</v>
      </c>
      <c r="Y36" s="21">
        <f t="shared" ca="1" si="22"/>
        <v>-2.289168760668205</v>
      </c>
      <c r="Z36" s="26">
        <f t="shared" ca="1" si="23"/>
        <v>2.2933769976653329</v>
      </c>
      <c r="AA36" s="21">
        <f t="shared" ca="1" si="14"/>
        <v>4.2082369971279095E-3</v>
      </c>
      <c r="AB36" s="21">
        <f t="shared" ca="1" si="24"/>
        <v>211.45971551385875</v>
      </c>
    </row>
    <row r="37" spans="1:28" ht="13.8" x14ac:dyDescent="0.3">
      <c r="A37" s="24">
        <f t="shared" si="7"/>
        <v>6</v>
      </c>
      <c r="B37" s="24">
        <f t="shared" si="25"/>
        <v>1</v>
      </c>
      <c r="C37" s="8">
        <f t="shared" si="26"/>
        <v>44910</v>
      </c>
      <c r="D37" s="25">
        <f t="shared" si="15"/>
        <v>7</v>
      </c>
      <c r="E37" s="25">
        <f t="shared" si="16"/>
        <v>6</v>
      </c>
      <c r="F37" s="26">
        <f t="shared" si="0"/>
        <v>360</v>
      </c>
      <c r="G37" s="189">
        <f t="shared" si="8"/>
        <v>13.5</v>
      </c>
      <c r="H37" s="25">
        <f t="shared" si="17"/>
        <v>30</v>
      </c>
      <c r="I37" s="22">
        <f t="shared" si="9"/>
        <v>30168.04</v>
      </c>
      <c r="J37" s="190">
        <f t="shared" si="10"/>
        <v>678.03446428571419</v>
      </c>
      <c r="K37" s="190">
        <f t="shared" si="11"/>
        <v>320.04000000000002</v>
      </c>
      <c r="L37" s="191">
        <f t="shared" si="1"/>
        <v>3.96454</v>
      </c>
      <c r="M37" s="191">
        <f t="shared" si="12"/>
        <v>324.00454000000002</v>
      </c>
      <c r="N37" s="21">
        <f t="shared" si="2"/>
        <v>1002.0390042857142</v>
      </c>
      <c r="O37" s="21">
        <f t="shared" si="3"/>
        <v>3.03</v>
      </c>
      <c r="P37" s="21">
        <f t="shared" si="18"/>
        <v>4.95</v>
      </c>
      <c r="Q37" s="243">
        <f t="shared" si="4"/>
        <v>1010.0190042857142</v>
      </c>
      <c r="R37" s="22">
        <f t="shared" si="5"/>
        <v>29490.01</v>
      </c>
      <c r="S37" s="22">
        <f t="shared" si="6"/>
        <v>0</v>
      </c>
      <c r="T37" s="193">
        <f t="shared" si="19"/>
        <v>0</v>
      </c>
      <c r="U37" s="237">
        <v>2969.5313041666664</v>
      </c>
      <c r="V37" s="25">
        <f t="shared" si="20"/>
        <v>214</v>
      </c>
      <c r="W37" s="194">
        <f t="shared" si="13"/>
        <v>0.927487394125175</v>
      </c>
      <c r="X37" s="21">
        <f t="shared" ca="1" si="21"/>
        <v>211.45971551385875</v>
      </c>
      <c r="Y37" s="21">
        <f t="shared" ca="1" si="22"/>
        <v>-2.2390827187672229</v>
      </c>
      <c r="Z37" s="26">
        <f t="shared" ca="1" si="23"/>
        <v>2.2432909557643508</v>
      </c>
      <c r="AA37" s="21">
        <f t="shared" ca="1" si="14"/>
        <v>4.2082369971279095E-3</v>
      </c>
      <c r="AB37" s="21">
        <f t="shared" ca="1" si="24"/>
        <v>213.69879823262599</v>
      </c>
    </row>
    <row r="38" spans="1:28" ht="13.8" x14ac:dyDescent="0.3">
      <c r="A38" s="24">
        <f t="shared" si="7"/>
        <v>7</v>
      </c>
      <c r="B38" s="24">
        <f t="shared" si="25"/>
        <v>1</v>
      </c>
      <c r="C38" s="8">
        <f t="shared" si="26"/>
        <v>44972</v>
      </c>
      <c r="D38" s="25">
        <f t="shared" si="15"/>
        <v>9</v>
      </c>
      <c r="E38" s="25">
        <f t="shared" si="16"/>
        <v>7</v>
      </c>
      <c r="F38" s="26">
        <f t="shared" si="0"/>
        <v>360</v>
      </c>
      <c r="G38" s="189">
        <f t="shared" si="8"/>
        <v>13.5</v>
      </c>
      <c r="H38" s="25">
        <f t="shared" si="17"/>
        <v>62</v>
      </c>
      <c r="I38" s="22">
        <f t="shared" si="9"/>
        <v>29490.01</v>
      </c>
      <c r="J38" s="190">
        <f t="shared" si="10"/>
        <v>342.91446428571413</v>
      </c>
      <c r="K38" s="190">
        <f t="shared" si="11"/>
        <v>650.21</v>
      </c>
      <c r="L38" s="191">
        <f t="shared" si="1"/>
        <v>3.96454</v>
      </c>
      <c r="M38" s="191">
        <f t="shared" si="12"/>
        <v>654.17454000000009</v>
      </c>
      <c r="N38" s="21">
        <f t="shared" si="2"/>
        <v>997.08900428571417</v>
      </c>
      <c r="O38" s="21">
        <f t="shared" si="3"/>
        <v>3.03</v>
      </c>
      <c r="P38" s="21">
        <f t="shared" si="18"/>
        <v>9.9</v>
      </c>
      <c r="Q38" s="243">
        <f t="shared" si="4"/>
        <v>1010.0190042857141</v>
      </c>
      <c r="R38" s="22">
        <f t="shared" si="5"/>
        <v>29147.1</v>
      </c>
      <c r="S38" s="22">
        <f t="shared" si="6"/>
        <v>0</v>
      </c>
      <c r="T38" s="193">
        <f t="shared" si="19"/>
        <v>4.95</v>
      </c>
      <c r="U38" s="237">
        <v>2969.5313041666664</v>
      </c>
      <c r="V38" s="25">
        <f t="shared" si="20"/>
        <v>276</v>
      </c>
      <c r="W38" s="194">
        <f t="shared" si="13"/>
        <v>0.90747883776499993</v>
      </c>
      <c r="X38" s="21">
        <f t="shared" ca="1" si="21"/>
        <v>213.69879823262599</v>
      </c>
      <c r="Y38" s="21">
        <f t="shared" ca="1" si="22"/>
        <v>-4.7075318836539948</v>
      </c>
      <c r="Z38" s="26">
        <f t="shared" ca="1" si="23"/>
        <v>4.7117401206511227</v>
      </c>
      <c r="AA38" s="21">
        <f t="shared" ca="1" si="14"/>
        <v>4.2082369971279095E-3</v>
      </c>
      <c r="AB38" s="21">
        <f t="shared" ca="1" si="24"/>
        <v>218.40633011627997</v>
      </c>
    </row>
    <row r="39" spans="1:28" ht="13.8" x14ac:dyDescent="0.3">
      <c r="A39" s="24">
        <f t="shared" si="7"/>
        <v>8</v>
      </c>
      <c r="B39" s="24">
        <f t="shared" si="25"/>
        <v>1</v>
      </c>
      <c r="C39" s="8">
        <f t="shared" si="26"/>
        <v>45000</v>
      </c>
      <c r="D39" s="25">
        <f t="shared" si="15"/>
        <v>10</v>
      </c>
      <c r="E39" s="25">
        <f t="shared" si="16"/>
        <v>8</v>
      </c>
      <c r="F39" s="26">
        <f t="shared" si="0"/>
        <v>360</v>
      </c>
      <c r="G39" s="189">
        <f t="shared" si="8"/>
        <v>13.5</v>
      </c>
      <c r="H39" s="25">
        <f t="shared" si="17"/>
        <v>28</v>
      </c>
      <c r="I39" s="22">
        <f t="shared" si="9"/>
        <v>29147.1</v>
      </c>
      <c r="J39" s="190">
        <f t="shared" si="10"/>
        <v>709.58446428571415</v>
      </c>
      <c r="K39" s="190">
        <f t="shared" si="11"/>
        <v>288.49</v>
      </c>
      <c r="L39" s="191">
        <f t="shared" si="1"/>
        <v>3.96454</v>
      </c>
      <c r="M39" s="191">
        <f t="shared" si="12"/>
        <v>292.45454000000001</v>
      </c>
      <c r="N39" s="21">
        <f t="shared" si="2"/>
        <v>1002.0390042857142</v>
      </c>
      <c r="O39" s="21">
        <f t="shared" si="3"/>
        <v>3.03</v>
      </c>
      <c r="P39" s="21">
        <f t="shared" si="18"/>
        <v>4.95</v>
      </c>
      <c r="Q39" s="243">
        <f t="shared" si="4"/>
        <v>1010.0190042857142</v>
      </c>
      <c r="R39" s="22">
        <f t="shared" si="5"/>
        <v>28437.52</v>
      </c>
      <c r="S39" s="22">
        <f t="shared" si="6"/>
        <v>0</v>
      </c>
      <c r="T39" s="193">
        <f t="shared" si="19"/>
        <v>0</v>
      </c>
      <c r="U39" s="237">
        <v>2969.5313041666664</v>
      </c>
      <c r="V39" s="25">
        <f t="shared" si="20"/>
        <v>304</v>
      </c>
      <c r="W39" s="194">
        <f t="shared" si="13"/>
        <v>0.89858476326999848</v>
      </c>
      <c r="X39" s="21">
        <f t="shared" ca="1" si="21"/>
        <v>218.40633011627997</v>
      </c>
      <c r="Y39" s="21">
        <f t="shared" ca="1" si="22"/>
        <v>-2.157549061407479</v>
      </c>
      <c r="Z39" s="26">
        <f t="shared" ca="1" si="23"/>
        <v>2.161757298404607</v>
      </c>
      <c r="AA39" s="21">
        <f t="shared" ca="1" si="14"/>
        <v>4.2082369971279095E-3</v>
      </c>
      <c r="AB39" s="21">
        <f t="shared" ca="1" si="24"/>
        <v>220.56387917768745</v>
      </c>
    </row>
    <row r="40" spans="1:28" ht="13.8" x14ac:dyDescent="0.3">
      <c r="A40" s="24">
        <f t="shared" si="7"/>
        <v>9</v>
      </c>
      <c r="B40" s="24">
        <f t="shared" si="25"/>
        <v>1</v>
      </c>
      <c r="C40" s="8">
        <f t="shared" si="26"/>
        <v>45031</v>
      </c>
      <c r="D40" s="25">
        <f t="shared" si="15"/>
        <v>11</v>
      </c>
      <c r="E40" s="25">
        <f t="shared" si="16"/>
        <v>9</v>
      </c>
      <c r="F40" s="26">
        <f t="shared" si="0"/>
        <v>360</v>
      </c>
      <c r="G40" s="189">
        <f t="shared" si="8"/>
        <v>13.5</v>
      </c>
      <c r="H40" s="25">
        <f t="shared" si="17"/>
        <v>31</v>
      </c>
      <c r="I40" s="22">
        <f t="shared" si="9"/>
        <v>28437.52</v>
      </c>
      <c r="J40" s="190">
        <f t="shared" si="10"/>
        <v>686.28446428571419</v>
      </c>
      <c r="K40" s="190">
        <f t="shared" si="11"/>
        <v>311.79000000000002</v>
      </c>
      <c r="L40" s="191">
        <f t="shared" si="1"/>
        <v>3.96454</v>
      </c>
      <c r="M40" s="191">
        <f t="shared" si="12"/>
        <v>315.75454000000002</v>
      </c>
      <c r="N40" s="21">
        <f t="shared" si="2"/>
        <v>1002.0390042857142</v>
      </c>
      <c r="O40" s="21">
        <f t="shared" si="3"/>
        <v>3.03</v>
      </c>
      <c r="P40" s="21">
        <f t="shared" si="18"/>
        <v>4.95</v>
      </c>
      <c r="Q40" s="243">
        <f t="shared" si="4"/>
        <v>1010.0190042857142</v>
      </c>
      <c r="R40" s="22">
        <f t="shared" si="5"/>
        <v>27751.24</v>
      </c>
      <c r="S40" s="22">
        <f t="shared" si="6"/>
        <v>0</v>
      </c>
      <c r="T40" s="193">
        <f t="shared" si="19"/>
        <v>0</v>
      </c>
      <c r="U40" s="237">
        <v>2969.5313041666664</v>
      </c>
      <c r="V40" s="25">
        <f t="shared" si="20"/>
        <v>335</v>
      </c>
      <c r="W40" s="194">
        <f t="shared" si="13"/>
        <v>0.88883939588069394</v>
      </c>
      <c r="X40" s="21">
        <f t="shared" ca="1" si="21"/>
        <v>220.56387917768745</v>
      </c>
      <c r="Y40" s="21">
        <f t="shared" ca="1" si="22"/>
        <v>-2.4140869526157873</v>
      </c>
      <c r="Z40" s="26">
        <f t="shared" ca="1" si="23"/>
        <v>2.4182951896129152</v>
      </c>
      <c r="AA40" s="21">
        <f t="shared" ca="1" si="14"/>
        <v>4.2082369971279095E-3</v>
      </c>
      <c r="AB40" s="21">
        <f t="shared" ca="1" si="24"/>
        <v>222.97796613030323</v>
      </c>
    </row>
    <row r="41" spans="1:28" ht="13.8" x14ac:dyDescent="0.3">
      <c r="A41" s="24">
        <f t="shared" si="7"/>
        <v>10</v>
      </c>
      <c r="B41" s="24">
        <f t="shared" si="25"/>
        <v>1</v>
      </c>
      <c r="C41" s="8">
        <f t="shared" si="26"/>
        <v>45061</v>
      </c>
      <c r="D41" s="25">
        <f t="shared" si="15"/>
        <v>12</v>
      </c>
      <c r="E41" s="25">
        <f t="shared" si="16"/>
        <v>10</v>
      </c>
      <c r="F41" s="26">
        <f t="shared" si="0"/>
        <v>360</v>
      </c>
      <c r="G41" s="189">
        <f t="shared" si="8"/>
        <v>13.5</v>
      </c>
      <c r="H41" s="25">
        <f t="shared" si="17"/>
        <v>30</v>
      </c>
      <c r="I41" s="22">
        <f t="shared" si="9"/>
        <v>27751.24</v>
      </c>
      <c r="J41" s="190">
        <f t="shared" si="10"/>
        <v>703.67446428571418</v>
      </c>
      <c r="K41" s="190">
        <f t="shared" si="11"/>
        <v>294.39999999999998</v>
      </c>
      <c r="L41" s="191">
        <f t="shared" si="1"/>
        <v>3.96454</v>
      </c>
      <c r="M41" s="191">
        <f t="shared" si="12"/>
        <v>298.36453999999998</v>
      </c>
      <c r="N41" s="21">
        <f t="shared" si="2"/>
        <v>1002.0390042857142</v>
      </c>
      <c r="O41" s="21">
        <f t="shared" si="3"/>
        <v>3.03</v>
      </c>
      <c r="P41" s="21">
        <f t="shared" si="18"/>
        <v>4.95</v>
      </c>
      <c r="Q41" s="243">
        <f t="shared" si="4"/>
        <v>1010.0190042857142</v>
      </c>
      <c r="R41" s="22">
        <f t="shared" si="5"/>
        <v>27047.57</v>
      </c>
      <c r="S41" s="22">
        <f t="shared" si="6"/>
        <v>0</v>
      </c>
      <c r="T41" s="193">
        <f t="shared" si="19"/>
        <v>0</v>
      </c>
      <c r="U41" s="237">
        <v>2969.5313041666668</v>
      </c>
      <c r="V41" s="25">
        <f t="shared" si="20"/>
        <v>365</v>
      </c>
      <c r="W41" s="194">
        <f t="shared" si="13"/>
        <v>0.8795090387142418</v>
      </c>
      <c r="X41" s="21">
        <f t="shared" ca="1" si="21"/>
        <v>222.97796613030323</v>
      </c>
      <c r="Y41" s="21">
        <f t="shared" ca="1" si="22"/>
        <v>-2.3612752005423325</v>
      </c>
      <c r="Z41" s="26">
        <f t="shared" ca="1" si="23"/>
        <v>2.3654834375394604</v>
      </c>
      <c r="AA41" s="21">
        <f t="shared" ca="1" si="14"/>
        <v>4.2082369971279095E-3</v>
      </c>
      <c r="AB41" s="21">
        <f t="shared" ca="1" si="24"/>
        <v>225.33924133084557</v>
      </c>
    </row>
    <row r="42" spans="1:28" ht="13.8" x14ac:dyDescent="0.3">
      <c r="A42" s="24">
        <f t="shared" si="7"/>
        <v>11</v>
      </c>
      <c r="B42" s="24">
        <f t="shared" si="25"/>
        <v>1</v>
      </c>
      <c r="C42" s="8">
        <f t="shared" si="26"/>
        <v>45122</v>
      </c>
      <c r="D42" s="25">
        <f t="shared" si="15"/>
        <v>14</v>
      </c>
      <c r="E42" s="25">
        <f t="shared" si="16"/>
        <v>11</v>
      </c>
      <c r="F42" s="26">
        <f t="shared" si="0"/>
        <v>360</v>
      </c>
      <c r="G42" s="189">
        <f t="shared" si="8"/>
        <v>13.5</v>
      </c>
      <c r="H42" s="25">
        <f t="shared" si="17"/>
        <v>61</v>
      </c>
      <c r="I42" s="22">
        <f t="shared" si="9"/>
        <v>27047.57</v>
      </c>
      <c r="J42" s="190">
        <f t="shared" si="10"/>
        <v>406.48446428571418</v>
      </c>
      <c r="K42" s="190">
        <f t="shared" si="11"/>
        <v>586.64</v>
      </c>
      <c r="L42" s="191">
        <f t="shared" si="1"/>
        <v>3.96454</v>
      </c>
      <c r="M42" s="191">
        <f t="shared" si="12"/>
        <v>590.60454000000004</v>
      </c>
      <c r="N42" s="21">
        <f t="shared" si="2"/>
        <v>997.08900428571417</v>
      </c>
      <c r="O42" s="21">
        <f t="shared" si="3"/>
        <v>3.03</v>
      </c>
      <c r="P42" s="21">
        <f t="shared" si="18"/>
        <v>9.9</v>
      </c>
      <c r="Q42" s="243">
        <f t="shared" si="4"/>
        <v>1010.0190042857141</v>
      </c>
      <c r="R42" s="22">
        <f t="shared" si="5"/>
        <v>26641.09</v>
      </c>
      <c r="S42" s="22">
        <f t="shared" si="6"/>
        <v>0</v>
      </c>
      <c r="T42" s="193">
        <f t="shared" si="19"/>
        <v>4.95</v>
      </c>
      <c r="U42" s="237">
        <v>2969.5313041666664</v>
      </c>
      <c r="V42" s="25">
        <f t="shared" si="20"/>
        <v>426</v>
      </c>
      <c r="W42" s="194">
        <f t="shared" si="13"/>
        <v>0.8608382656802569</v>
      </c>
      <c r="X42" s="21">
        <f t="shared" ca="1" si="21"/>
        <v>225.33924133084557</v>
      </c>
      <c r="Y42" s="21">
        <f t="shared" ca="1" si="22"/>
        <v>-4.883188151236026</v>
      </c>
      <c r="Z42" s="26">
        <f t="shared" ca="1" si="23"/>
        <v>4.8873963882331539</v>
      </c>
      <c r="AA42" s="21">
        <f t="shared" ca="1" si="14"/>
        <v>4.2082369971279095E-3</v>
      </c>
      <c r="AB42" s="21">
        <f t="shared" ca="1" si="24"/>
        <v>230.22242948208159</v>
      </c>
    </row>
    <row r="43" spans="1:28" s="203" customFormat="1" ht="13.8" x14ac:dyDescent="0.3">
      <c r="A43" s="24">
        <f t="shared" si="7"/>
        <v>12</v>
      </c>
      <c r="B43" s="24">
        <f t="shared" si="25"/>
        <v>1</v>
      </c>
      <c r="C43" s="196">
        <f t="shared" si="26"/>
        <v>45153</v>
      </c>
      <c r="D43" s="197">
        <f t="shared" si="15"/>
        <v>15</v>
      </c>
      <c r="E43" s="197">
        <f t="shared" si="16"/>
        <v>12</v>
      </c>
      <c r="F43" s="198">
        <f t="shared" si="0"/>
        <v>360</v>
      </c>
      <c r="G43" s="199">
        <f t="shared" si="8"/>
        <v>13.5</v>
      </c>
      <c r="H43" s="197">
        <f t="shared" si="17"/>
        <v>31</v>
      </c>
      <c r="I43" s="200">
        <f t="shared" si="9"/>
        <v>26641.09</v>
      </c>
      <c r="J43" s="201">
        <f t="shared" si="10"/>
        <v>705.97446428571413</v>
      </c>
      <c r="K43" s="201">
        <f t="shared" si="11"/>
        <v>292.10000000000002</v>
      </c>
      <c r="L43" s="201">
        <f t="shared" si="1"/>
        <v>3.96454</v>
      </c>
      <c r="M43" s="201">
        <f t="shared" si="12"/>
        <v>296.06454000000002</v>
      </c>
      <c r="N43" s="201">
        <f t="shared" si="2"/>
        <v>1002.0390042857142</v>
      </c>
      <c r="O43" s="201">
        <f t="shared" si="3"/>
        <v>3.03</v>
      </c>
      <c r="P43" s="201">
        <f t="shared" si="18"/>
        <v>4.95</v>
      </c>
      <c r="Q43" s="244">
        <f t="shared" si="4"/>
        <v>1010.0190042857142</v>
      </c>
      <c r="R43" s="200">
        <f t="shared" si="5"/>
        <v>25935.119999999999</v>
      </c>
      <c r="S43" s="200">
        <f t="shared" si="6"/>
        <v>0</v>
      </c>
      <c r="T43" s="193">
        <f t="shared" si="19"/>
        <v>0</v>
      </c>
      <c r="U43" s="239">
        <v>2969.5313041666664</v>
      </c>
      <c r="V43" s="197">
        <f t="shared" si="20"/>
        <v>457</v>
      </c>
      <c r="W43" s="204">
        <f t="shared" si="13"/>
        <v>0.85150226811526697</v>
      </c>
      <c r="X43" s="201">
        <f t="shared" ca="1" si="21"/>
        <v>230.22242948208159</v>
      </c>
      <c r="Y43" s="201">
        <f t="shared" ca="1" si="22"/>
        <v>-2.51998473527554</v>
      </c>
      <c r="Z43" s="198">
        <f t="shared" ca="1" si="23"/>
        <v>2.5241929722726679</v>
      </c>
      <c r="AA43" s="201">
        <f t="shared" ca="1" si="14"/>
        <v>4.2082369971279095E-3</v>
      </c>
      <c r="AB43" s="201">
        <f t="shared" ca="1" si="24"/>
        <v>232.74241421735712</v>
      </c>
    </row>
    <row r="44" spans="1:28" ht="13.8" x14ac:dyDescent="0.3">
      <c r="A44" s="24">
        <f t="shared" si="7"/>
        <v>13</v>
      </c>
      <c r="B44" s="24">
        <f t="shared" si="25"/>
        <v>1</v>
      </c>
      <c r="C44" s="8">
        <f t="shared" si="26"/>
        <v>45184</v>
      </c>
      <c r="D44" s="25">
        <f t="shared" si="15"/>
        <v>16</v>
      </c>
      <c r="E44" s="25">
        <f t="shared" si="16"/>
        <v>13</v>
      </c>
      <c r="F44" s="26">
        <f t="shared" si="0"/>
        <v>360</v>
      </c>
      <c r="G44" s="189">
        <f t="shared" si="8"/>
        <v>13.5</v>
      </c>
      <c r="H44" s="25">
        <f t="shared" si="17"/>
        <v>31</v>
      </c>
      <c r="I44" s="22">
        <f t="shared" si="9"/>
        <v>25935.119999999999</v>
      </c>
      <c r="J44" s="190">
        <f t="shared" si="10"/>
        <v>713.71446428571414</v>
      </c>
      <c r="K44" s="190">
        <f t="shared" si="11"/>
        <v>284.36</v>
      </c>
      <c r="L44" s="191">
        <f t="shared" si="1"/>
        <v>3.96454</v>
      </c>
      <c r="M44" s="191">
        <f t="shared" si="12"/>
        <v>288.32454000000001</v>
      </c>
      <c r="N44" s="21">
        <f t="shared" si="2"/>
        <v>1002.0390042857142</v>
      </c>
      <c r="O44" s="21">
        <f t="shared" si="3"/>
        <v>3.03</v>
      </c>
      <c r="P44" s="21">
        <f t="shared" si="18"/>
        <v>4.95</v>
      </c>
      <c r="Q44" s="243">
        <f t="shared" si="4"/>
        <v>1010.0190042857142</v>
      </c>
      <c r="R44" s="22">
        <f t="shared" si="5"/>
        <v>25221.41</v>
      </c>
      <c r="S44" s="22">
        <f t="shared" si="6"/>
        <v>0</v>
      </c>
      <c r="T44" s="193">
        <f t="shared" si="19"/>
        <v>0</v>
      </c>
      <c r="U44" s="237">
        <v>2969.5313041666664</v>
      </c>
      <c r="V44" s="25">
        <f t="shared" si="20"/>
        <v>488</v>
      </c>
      <c r="W44" s="194">
        <f t="shared" si="13"/>
        <v>0.84226752168421049</v>
      </c>
      <c r="X44" s="21">
        <f t="shared" ca="1" si="21"/>
        <v>232.74241421735712</v>
      </c>
      <c r="Y44" s="21">
        <f t="shared" ca="1" si="22"/>
        <v>-2.5476142228685896</v>
      </c>
      <c r="Z44" s="26">
        <f t="shared" ca="1" si="23"/>
        <v>2.5518224598657175</v>
      </c>
      <c r="AA44" s="21">
        <f t="shared" ca="1" si="14"/>
        <v>4.2082369971279095E-3</v>
      </c>
      <c r="AB44" s="21">
        <f t="shared" ca="1" si="24"/>
        <v>235.29002844022571</v>
      </c>
    </row>
    <row r="45" spans="1:28" ht="13.8" x14ac:dyDescent="0.3">
      <c r="A45" s="24">
        <f t="shared" si="7"/>
        <v>14</v>
      </c>
      <c r="B45" s="24">
        <f t="shared" si="25"/>
        <v>1</v>
      </c>
      <c r="C45" s="8">
        <f t="shared" si="26"/>
        <v>45214</v>
      </c>
      <c r="D45" s="25">
        <f t="shared" si="15"/>
        <v>17</v>
      </c>
      <c r="E45" s="25">
        <f t="shared" si="16"/>
        <v>14</v>
      </c>
      <c r="F45" s="26">
        <f t="shared" si="0"/>
        <v>360</v>
      </c>
      <c r="G45" s="189">
        <f t="shared" si="8"/>
        <v>13.5</v>
      </c>
      <c r="H45" s="25">
        <f t="shared" si="17"/>
        <v>30</v>
      </c>
      <c r="I45" s="22">
        <f t="shared" si="9"/>
        <v>25221.41</v>
      </c>
      <c r="J45" s="190">
        <f t="shared" si="10"/>
        <v>730.51446428571421</v>
      </c>
      <c r="K45" s="190">
        <f t="shared" si="11"/>
        <v>267.56</v>
      </c>
      <c r="L45" s="191">
        <f t="shared" si="1"/>
        <v>3.96454</v>
      </c>
      <c r="M45" s="191">
        <f t="shared" si="12"/>
        <v>271.52454</v>
      </c>
      <c r="N45" s="21">
        <f t="shared" si="2"/>
        <v>1002.0390042857142</v>
      </c>
      <c r="O45" s="21">
        <f t="shared" si="3"/>
        <v>3.03</v>
      </c>
      <c r="P45" s="21">
        <f t="shared" si="18"/>
        <v>4.95</v>
      </c>
      <c r="Q45" s="243">
        <f t="shared" si="4"/>
        <v>1010.0190042857142</v>
      </c>
      <c r="R45" s="22">
        <f t="shared" si="5"/>
        <v>24490.9</v>
      </c>
      <c r="S45" s="22">
        <f t="shared" si="6"/>
        <v>0</v>
      </c>
      <c r="T45" s="193">
        <f t="shared" si="19"/>
        <v>0</v>
      </c>
      <c r="U45" s="237">
        <v>2969.5313041666664</v>
      </c>
      <c r="V45" s="25">
        <f t="shared" si="20"/>
        <v>518</v>
      </c>
      <c r="W45" s="194">
        <f t="shared" si="13"/>
        <v>0.83342604048587821</v>
      </c>
      <c r="X45" s="21">
        <f t="shared" ca="1" si="21"/>
        <v>235.29002844022571</v>
      </c>
      <c r="Y45" s="21">
        <f t="shared" ca="1" si="22"/>
        <v>-2.4918889108631812</v>
      </c>
      <c r="Z45" s="26">
        <f t="shared" ca="1" si="23"/>
        <v>2.4960971478603091</v>
      </c>
      <c r="AA45" s="21">
        <f t="shared" ca="1" si="14"/>
        <v>4.2082369971279095E-3</v>
      </c>
      <c r="AB45" s="21">
        <f t="shared" ca="1" si="24"/>
        <v>237.78191735108888</v>
      </c>
    </row>
    <row r="46" spans="1:28" ht="13.8" x14ac:dyDescent="0.3">
      <c r="A46" s="24">
        <f t="shared" si="7"/>
        <v>15</v>
      </c>
      <c r="B46" s="24">
        <f t="shared" si="25"/>
        <v>1</v>
      </c>
      <c r="C46" s="8">
        <f t="shared" si="26"/>
        <v>45245</v>
      </c>
      <c r="D46" s="25">
        <f t="shared" si="15"/>
        <v>18</v>
      </c>
      <c r="E46" s="25">
        <f t="shared" si="16"/>
        <v>15</v>
      </c>
      <c r="F46" s="26">
        <f t="shared" si="0"/>
        <v>360</v>
      </c>
      <c r="G46" s="189">
        <f t="shared" si="8"/>
        <v>13.5</v>
      </c>
      <c r="H46" s="25">
        <f t="shared" si="17"/>
        <v>31</v>
      </c>
      <c r="I46" s="22">
        <f t="shared" si="9"/>
        <v>24490.9</v>
      </c>
      <c r="J46" s="21">
        <f t="shared" si="10"/>
        <v>729.55446428571418</v>
      </c>
      <c r="K46" s="21">
        <f t="shared" si="11"/>
        <v>268.52</v>
      </c>
      <c r="L46" s="21">
        <f t="shared" si="1"/>
        <v>3.96454</v>
      </c>
      <c r="M46" s="21">
        <f t="shared" si="12"/>
        <v>272.48453999999998</v>
      </c>
      <c r="N46" s="21">
        <f t="shared" si="2"/>
        <v>1002.0390042857142</v>
      </c>
      <c r="O46" s="21">
        <f t="shared" si="3"/>
        <v>3.03</v>
      </c>
      <c r="P46" s="21">
        <f t="shared" si="18"/>
        <v>4.95</v>
      </c>
      <c r="Q46" s="243">
        <f t="shared" si="4"/>
        <v>1010.0190042857142</v>
      </c>
      <c r="R46" s="22">
        <f t="shared" si="5"/>
        <v>23761.35</v>
      </c>
      <c r="S46" s="22">
        <f t="shared" si="6"/>
        <v>0</v>
      </c>
      <c r="T46" s="193">
        <f t="shared" si="19"/>
        <v>0</v>
      </c>
      <c r="U46" s="238">
        <v>2969.5313041666664</v>
      </c>
      <c r="V46" s="25">
        <f t="shared" si="20"/>
        <v>549</v>
      </c>
      <c r="W46" s="205">
        <f t="shared" si="13"/>
        <v>0.82438733508117967</v>
      </c>
      <c r="X46" s="21">
        <f t="shared" ca="1" si="21"/>
        <v>237.78191735108888</v>
      </c>
      <c r="Y46" s="21">
        <f t="shared" ca="1" si="22"/>
        <v>-2.6028680850684145</v>
      </c>
      <c r="Z46" s="26">
        <f t="shared" ca="1" si="23"/>
        <v>2.6070763220655424</v>
      </c>
      <c r="AA46" s="21">
        <f t="shared" ca="1" si="14"/>
        <v>4.2082369971279095E-3</v>
      </c>
      <c r="AB46" s="21">
        <f t="shared" ca="1" si="24"/>
        <v>240.3847854361573</v>
      </c>
    </row>
    <row r="47" spans="1:28" ht="13.8" x14ac:dyDescent="0.3">
      <c r="A47" s="24">
        <f t="shared" si="7"/>
        <v>16</v>
      </c>
      <c r="B47" s="24">
        <f t="shared" si="25"/>
        <v>1</v>
      </c>
      <c r="C47" s="8">
        <f t="shared" si="26"/>
        <v>45275</v>
      </c>
      <c r="D47" s="25">
        <f t="shared" si="15"/>
        <v>19</v>
      </c>
      <c r="E47" s="25">
        <f t="shared" si="16"/>
        <v>16</v>
      </c>
      <c r="F47" s="26">
        <f t="shared" si="0"/>
        <v>360</v>
      </c>
      <c r="G47" s="189">
        <f t="shared" si="8"/>
        <v>13.5</v>
      </c>
      <c r="H47" s="25">
        <f t="shared" si="17"/>
        <v>30</v>
      </c>
      <c r="I47" s="22">
        <f t="shared" si="9"/>
        <v>23761.35</v>
      </c>
      <c r="J47" s="190">
        <f t="shared" si="10"/>
        <v>746.00446428571422</v>
      </c>
      <c r="K47" s="190">
        <f t="shared" si="11"/>
        <v>252.07</v>
      </c>
      <c r="L47" s="191">
        <f t="shared" si="1"/>
        <v>3.96454</v>
      </c>
      <c r="M47" s="191">
        <f t="shared" si="12"/>
        <v>256.03453999999999</v>
      </c>
      <c r="N47" s="21">
        <f t="shared" si="2"/>
        <v>1002.0390042857142</v>
      </c>
      <c r="O47" s="21">
        <f t="shared" si="3"/>
        <v>3.03</v>
      </c>
      <c r="P47" s="21">
        <f t="shared" si="18"/>
        <v>4.95</v>
      </c>
      <c r="Q47" s="243">
        <f t="shared" si="4"/>
        <v>1010.0190042857142</v>
      </c>
      <c r="R47" s="22">
        <f t="shared" si="5"/>
        <v>23015.35</v>
      </c>
      <c r="S47" s="22">
        <f t="shared" si="6"/>
        <v>0</v>
      </c>
      <c r="T47" s="193">
        <f t="shared" si="19"/>
        <v>0</v>
      </c>
      <c r="U47" s="237">
        <v>2969.5313041666668</v>
      </c>
      <c r="V47" s="25">
        <f t="shared" si="20"/>
        <v>579</v>
      </c>
      <c r="W47" s="194">
        <f t="shared" si="13"/>
        <v>0.81573354642660978</v>
      </c>
      <c r="X47" s="21">
        <f t="shared" ca="1" si="21"/>
        <v>240.3847854361573</v>
      </c>
      <c r="Y47" s="21">
        <f t="shared" ca="1" si="22"/>
        <v>-2.5459371359022502</v>
      </c>
      <c r="Z47" s="26">
        <f t="shared" ca="1" si="23"/>
        <v>2.5501453728993781</v>
      </c>
      <c r="AA47" s="21">
        <f t="shared" ca="1" si="14"/>
        <v>4.2082369971279095E-3</v>
      </c>
      <c r="AB47" s="21">
        <f t="shared" ca="1" si="24"/>
        <v>242.93072257205955</v>
      </c>
    </row>
    <row r="48" spans="1:28" ht="13.8" x14ac:dyDescent="0.3">
      <c r="A48" s="24">
        <f t="shared" si="7"/>
        <v>17</v>
      </c>
      <c r="B48" s="24">
        <f t="shared" si="25"/>
        <v>1</v>
      </c>
      <c r="C48" s="8">
        <f t="shared" si="26"/>
        <v>45337</v>
      </c>
      <c r="D48" s="25">
        <f t="shared" si="15"/>
        <v>21</v>
      </c>
      <c r="E48" s="25">
        <f t="shared" si="16"/>
        <v>17</v>
      </c>
      <c r="F48" s="26">
        <f t="shared" si="0"/>
        <v>360</v>
      </c>
      <c r="G48" s="189">
        <f t="shared" si="8"/>
        <v>13.5</v>
      </c>
      <c r="H48" s="25">
        <f t="shared" si="17"/>
        <v>62</v>
      </c>
      <c r="I48" s="22">
        <f t="shared" si="9"/>
        <v>23015.35</v>
      </c>
      <c r="J48" s="190">
        <f t="shared" si="10"/>
        <v>485.67446428571418</v>
      </c>
      <c r="K48" s="190">
        <f t="shared" si="11"/>
        <v>507.45</v>
      </c>
      <c r="L48" s="191">
        <f t="shared" si="1"/>
        <v>3.96454</v>
      </c>
      <c r="M48" s="191">
        <f t="shared" si="12"/>
        <v>511.41453999999999</v>
      </c>
      <c r="N48" s="21">
        <f t="shared" si="2"/>
        <v>997.08900428571417</v>
      </c>
      <c r="O48" s="21">
        <f t="shared" si="3"/>
        <v>3.03</v>
      </c>
      <c r="P48" s="21">
        <f t="shared" si="18"/>
        <v>9.9</v>
      </c>
      <c r="Q48" s="243">
        <f t="shared" si="4"/>
        <v>1010.0190042857141</v>
      </c>
      <c r="R48" s="22">
        <f t="shared" si="5"/>
        <v>22529.68</v>
      </c>
      <c r="S48" s="22">
        <f t="shared" si="6"/>
        <v>0</v>
      </c>
      <c r="T48" s="193">
        <f t="shared" si="19"/>
        <v>4.95</v>
      </c>
      <c r="U48" s="237">
        <v>2969.5313041666664</v>
      </c>
      <c r="V48" s="25">
        <f t="shared" si="20"/>
        <v>641</v>
      </c>
      <c r="W48" s="194">
        <f t="shared" si="13"/>
        <v>0.79813584025621243</v>
      </c>
      <c r="X48" s="21">
        <f t="shared" ca="1" si="21"/>
        <v>242.93072257205955</v>
      </c>
      <c r="Y48" s="21">
        <f t="shared" ca="1" si="22"/>
        <v>-5.3520522639886323</v>
      </c>
      <c r="Z48" s="26">
        <f t="shared" ca="1" si="23"/>
        <v>5.3562605009857602</v>
      </c>
      <c r="AA48" s="21">
        <f t="shared" ca="1" si="14"/>
        <v>4.2082369971279095E-3</v>
      </c>
      <c r="AB48" s="21">
        <f t="shared" ca="1" si="24"/>
        <v>248.28277483604819</v>
      </c>
    </row>
    <row r="49" spans="1:28" ht="13.8" x14ac:dyDescent="0.3">
      <c r="A49" s="24">
        <f t="shared" si="7"/>
        <v>18</v>
      </c>
      <c r="B49" s="24">
        <f t="shared" si="25"/>
        <v>1</v>
      </c>
      <c r="C49" s="8">
        <f t="shared" si="26"/>
        <v>45366</v>
      </c>
      <c r="D49" s="25">
        <f t="shared" si="15"/>
        <v>22</v>
      </c>
      <c r="E49" s="25">
        <f t="shared" si="16"/>
        <v>18</v>
      </c>
      <c r="F49" s="26">
        <f t="shared" si="0"/>
        <v>360</v>
      </c>
      <c r="G49" s="189">
        <f t="shared" si="8"/>
        <v>13.5</v>
      </c>
      <c r="H49" s="25">
        <f t="shared" si="17"/>
        <v>29</v>
      </c>
      <c r="I49" s="22">
        <f t="shared" si="9"/>
        <v>22529.68</v>
      </c>
      <c r="J49" s="190">
        <f t="shared" si="10"/>
        <v>767.07446428571416</v>
      </c>
      <c r="K49" s="190">
        <f t="shared" si="11"/>
        <v>231</v>
      </c>
      <c r="L49" s="191">
        <f t="shared" si="1"/>
        <v>3.96454</v>
      </c>
      <c r="M49" s="191">
        <f t="shared" si="12"/>
        <v>234.96454</v>
      </c>
      <c r="N49" s="21">
        <f t="shared" si="2"/>
        <v>1002.0390042857142</v>
      </c>
      <c r="O49" s="21">
        <f t="shared" si="3"/>
        <v>3.03</v>
      </c>
      <c r="P49" s="21">
        <f t="shared" si="18"/>
        <v>4.95</v>
      </c>
      <c r="Q49" s="243">
        <f t="shared" si="4"/>
        <v>1010.0190042857142</v>
      </c>
      <c r="R49" s="22">
        <f t="shared" si="5"/>
        <v>21762.61</v>
      </c>
      <c r="S49" s="22">
        <f t="shared" si="6"/>
        <v>0</v>
      </c>
      <c r="T49" s="193">
        <f t="shared" si="19"/>
        <v>0</v>
      </c>
      <c r="U49" s="237">
        <v>2969.5313041666664</v>
      </c>
      <c r="V49" s="25">
        <f t="shared" si="20"/>
        <v>670</v>
      </c>
      <c r="W49" s="194">
        <f t="shared" si="13"/>
        <v>0.7900354716695569</v>
      </c>
      <c r="X49" s="21">
        <f t="shared" ca="1" si="21"/>
        <v>248.28277483604819</v>
      </c>
      <c r="Y49" s="21">
        <f t="shared" ca="1" si="22"/>
        <v>-2.5414774467601156</v>
      </c>
      <c r="Z49" s="26">
        <f t="shared" ca="1" si="23"/>
        <v>2.5456856837572435</v>
      </c>
      <c r="AA49" s="21">
        <f t="shared" ca="1" si="14"/>
        <v>4.2082369971279095E-3</v>
      </c>
      <c r="AB49" s="21">
        <f t="shared" ca="1" si="24"/>
        <v>250.82425228280832</v>
      </c>
    </row>
    <row r="50" spans="1:28" ht="13.8" x14ac:dyDescent="0.3">
      <c r="A50" s="24">
        <f t="shared" si="7"/>
        <v>19</v>
      </c>
      <c r="B50" s="24">
        <f t="shared" si="25"/>
        <v>1</v>
      </c>
      <c r="C50" s="8">
        <f t="shared" si="26"/>
        <v>45397</v>
      </c>
      <c r="D50" s="25">
        <f t="shared" si="15"/>
        <v>23</v>
      </c>
      <c r="E50" s="25">
        <f t="shared" si="16"/>
        <v>19</v>
      </c>
      <c r="F50" s="26">
        <f t="shared" si="0"/>
        <v>360</v>
      </c>
      <c r="G50" s="189">
        <f t="shared" si="8"/>
        <v>13.5</v>
      </c>
      <c r="H50" s="25">
        <f t="shared" si="17"/>
        <v>31</v>
      </c>
      <c r="I50" s="22">
        <f t="shared" si="9"/>
        <v>21762.61</v>
      </c>
      <c r="J50" s="190">
        <f t="shared" si="10"/>
        <v>759.46446428571414</v>
      </c>
      <c r="K50" s="190">
        <f t="shared" si="11"/>
        <v>238.61</v>
      </c>
      <c r="L50" s="191">
        <f t="shared" si="1"/>
        <v>3.96454</v>
      </c>
      <c r="M50" s="191">
        <f t="shared" si="12"/>
        <v>242.57454000000001</v>
      </c>
      <c r="N50" s="21">
        <f t="shared" si="2"/>
        <v>1002.0390042857142</v>
      </c>
      <c r="O50" s="21">
        <f t="shared" si="3"/>
        <v>3.03</v>
      </c>
      <c r="P50" s="21">
        <f t="shared" si="18"/>
        <v>4.95</v>
      </c>
      <c r="Q50" s="243">
        <f t="shared" si="4"/>
        <v>1010.0190042857142</v>
      </c>
      <c r="R50" s="22">
        <f t="shared" si="5"/>
        <v>21003.15</v>
      </c>
      <c r="S50" s="22">
        <f t="shared" si="6"/>
        <v>0</v>
      </c>
      <c r="T50" s="193">
        <f t="shared" si="19"/>
        <v>0</v>
      </c>
      <c r="U50" s="237">
        <v>2969.5313041666664</v>
      </c>
      <c r="V50" s="25">
        <f t="shared" si="20"/>
        <v>701</v>
      </c>
      <c r="W50" s="194">
        <f t="shared" si="13"/>
        <v>0.78146734739602197</v>
      </c>
      <c r="X50" s="21">
        <f t="shared" ca="1" si="21"/>
        <v>250.82425228280832</v>
      </c>
      <c r="Y50" s="21">
        <f t="shared" ca="1" si="22"/>
        <v>-2.7458661858648217</v>
      </c>
      <c r="Z50" s="26">
        <f t="shared" ca="1" si="23"/>
        <v>2.7500744228619496</v>
      </c>
      <c r="AA50" s="21">
        <f t="shared" ca="1" si="14"/>
        <v>4.2082369971279095E-3</v>
      </c>
      <c r="AB50" s="21">
        <f t="shared" ca="1" si="24"/>
        <v>253.57011846867314</v>
      </c>
    </row>
    <row r="51" spans="1:28" ht="13.8" x14ac:dyDescent="0.3">
      <c r="A51" s="24">
        <f t="shared" si="7"/>
        <v>20</v>
      </c>
      <c r="B51" s="24">
        <f t="shared" si="25"/>
        <v>1</v>
      </c>
      <c r="C51" s="8">
        <f t="shared" si="26"/>
        <v>45427</v>
      </c>
      <c r="D51" s="25">
        <f t="shared" si="15"/>
        <v>24</v>
      </c>
      <c r="E51" s="25">
        <f t="shared" si="16"/>
        <v>20</v>
      </c>
      <c r="F51" s="26">
        <f t="shared" si="0"/>
        <v>360</v>
      </c>
      <c r="G51" s="189">
        <f t="shared" si="8"/>
        <v>13.5</v>
      </c>
      <c r="H51" s="25">
        <f t="shared" si="17"/>
        <v>30</v>
      </c>
      <c r="I51" s="22">
        <f t="shared" si="9"/>
        <v>21003.15</v>
      </c>
      <c r="J51" s="190">
        <f t="shared" si="10"/>
        <v>775.26446428571421</v>
      </c>
      <c r="K51" s="190">
        <f t="shared" si="11"/>
        <v>222.81</v>
      </c>
      <c r="L51" s="191">
        <f t="shared" si="1"/>
        <v>3.96454</v>
      </c>
      <c r="M51" s="191">
        <f t="shared" si="12"/>
        <v>226.77454</v>
      </c>
      <c r="N51" s="21">
        <f t="shared" si="2"/>
        <v>1002.0390042857142</v>
      </c>
      <c r="O51" s="21">
        <f t="shared" si="3"/>
        <v>3.03</v>
      </c>
      <c r="P51" s="21">
        <f t="shared" si="18"/>
        <v>4.95</v>
      </c>
      <c r="Q51" s="243">
        <f t="shared" si="4"/>
        <v>1010.0190042857142</v>
      </c>
      <c r="R51" s="22">
        <f t="shared" si="5"/>
        <v>20227.89</v>
      </c>
      <c r="S51" s="22">
        <f t="shared" si="6"/>
        <v>0</v>
      </c>
      <c r="T51" s="193">
        <f t="shared" si="19"/>
        <v>0</v>
      </c>
      <c r="U51" s="238">
        <v>2969.5313041666668</v>
      </c>
      <c r="V51" s="25">
        <f t="shared" si="20"/>
        <v>731</v>
      </c>
      <c r="W51" s="205">
        <f t="shared" si="13"/>
        <v>0.77326409999394186</v>
      </c>
      <c r="X51" s="21">
        <f t="shared" ca="1" si="21"/>
        <v>253.57011846867314</v>
      </c>
      <c r="Y51" s="21">
        <f t="shared" ca="1" si="22"/>
        <v>-2.6858150236063278</v>
      </c>
      <c r="Z51" s="26">
        <f t="shared" ca="1" si="23"/>
        <v>2.6900232606034558</v>
      </c>
      <c r="AA51" s="21">
        <f t="shared" ca="1" si="14"/>
        <v>4.2082369971279095E-3</v>
      </c>
      <c r="AB51" s="21">
        <f t="shared" ca="1" si="24"/>
        <v>256.2559334922795</v>
      </c>
    </row>
    <row r="52" spans="1:28" ht="13.8" x14ac:dyDescent="0.3">
      <c r="A52" s="24">
        <f t="shared" si="7"/>
        <v>21</v>
      </c>
      <c r="B52" s="24">
        <f t="shared" si="25"/>
        <v>1</v>
      </c>
      <c r="C52" s="8">
        <f t="shared" si="26"/>
        <v>45488</v>
      </c>
      <c r="D52" s="25">
        <f t="shared" si="15"/>
        <v>26</v>
      </c>
      <c r="E52" s="25">
        <f t="shared" si="16"/>
        <v>21</v>
      </c>
      <c r="F52" s="26">
        <f t="shared" si="0"/>
        <v>360</v>
      </c>
      <c r="G52" s="189">
        <f t="shared" si="8"/>
        <v>13.5</v>
      </c>
      <c r="H52" s="25">
        <f t="shared" si="17"/>
        <v>61</v>
      </c>
      <c r="I52" s="22">
        <f t="shared" si="9"/>
        <v>20227.89</v>
      </c>
      <c r="J52" s="190">
        <f t="shared" si="10"/>
        <v>554.40446428571408</v>
      </c>
      <c r="K52" s="190">
        <f t="shared" si="11"/>
        <v>438.72</v>
      </c>
      <c r="L52" s="191">
        <f t="shared" si="1"/>
        <v>3.96454</v>
      </c>
      <c r="M52" s="191">
        <f t="shared" si="12"/>
        <v>442.68454000000003</v>
      </c>
      <c r="N52" s="21">
        <f t="shared" si="2"/>
        <v>997.08900428571417</v>
      </c>
      <c r="O52" s="21">
        <f t="shared" si="3"/>
        <v>3.03</v>
      </c>
      <c r="P52" s="21">
        <f t="shared" si="18"/>
        <v>9.9</v>
      </c>
      <c r="Q52" s="243">
        <f t="shared" si="4"/>
        <v>1010.0190042857141</v>
      </c>
      <c r="R52" s="22">
        <f t="shared" si="5"/>
        <v>19673.490000000002</v>
      </c>
      <c r="S52" s="22">
        <f t="shared" si="6"/>
        <v>0</v>
      </c>
      <c r="T52" s="193">
        <f t="shared" si="19"/>
        <v>4.95</v>
      </c>
      <c r="U52" s="237">
        <v>2969.5313041666664</v>
      </c>
      <c r="V52" s="25">
        <f t="shared" si="20"/>
        <v>792</v>
      </c>
      <c r="W52" s="194">
        <f t="shared" si="13"/>
        <v>0.75684876158261438</v>
      </c>
      <c r="X52" s="21">
        <f t="shared" ca="1" si="21"/>
        <v>256.2559334922795</v>
      </c>
      <c r="Y52" s="21">
        <f t="shared" ca="1" si="22"/>
        <v>-5.5537421511230614</v>
      </c>
      <c r="Z52" s="26">
        <f t="shared" ca="1" si="23"/>
        <v>5.5579503881201893</v>
      </c>
      <c r="AA52" s="21">
        <f t="shared" ca="1" si="14"/>
        <v>4.2082369971279095E-3</v>
      </c>
      <c r="AB52" s="21">
        <f t="shared" ca="1" si="24"/>
        <v>261.80967564340256</v>
      </c>
    </row>
    <row r="53" spans="1:28" ht="13.8" x14ac:dyDescent="0.3">
      <c r="A53" s="24">
        <f t="shared" si="7"/>
        <v>22</v>
      </c>
      <c r="B53" s="24">
        <f t="shared" si="25"/>
        <v>1</v>
      </c>
      <c r="C53" s="8">
        <f t="shared" si="26"/>
        <v>45519</v>
      </c>
      <c r="D53" s="25">
        <f t="shared" si="15"/>
        <v>27</v>
      </c>
      <c r="E53" s="25">
        <f t="shared" si="16"/>
        <v>22</v>
      </c>
      <c r="F53" s="26">
        <f t="shared" si="0"/>
        <v>360</v>
      </c>
      <c r="G53" s="189">
        <f t="shared" si="8"/>
        <v>13.5</v>
      </c>
      <c r="H53" s="25">
        <f t="shared" si="17"/>
        <v>31</v>
      </c>
      <c r="I53" s="22">
        <f t="shared" si="9"/>
        <v>19673.490000000002</v>
      </c>
      <c r="J53" s="190">
        <f t="shared" si="10"/>
        <v>782.37446428571411</v>
      </c>
      <c r="K53" s="190">
        <f t="shared" si="11"/>
        <v>215.7</v>
      </c>
      <c r="L53" s="191">
        <f t="shared" si="1"/>
        <v>3.96454</v>
      </c>
      <c r="M53" s="191">
        <f t="shared" si="12"/>
        <v>219.66453999999999</v>
      </c>
      <c r="N53" s="21">
        <f t="shared" si="2"/>
        <v>1002.0390042857142</v>
      </c>
      <c r="O53" s="21">
        <f t="shared" si="3"/>
        <v>3.03</v>
      </c>
      <c r="P53" s="21">
        <f t="shared" si="18"/>
        <v>4.95</v>
      </c>
      <c r="Q53" s="243">
        <f t="shared" si="4"/>
        <v>1010.0190042857142</v>
      </c>
      <c r="R53" s="22">
        <f t="shared" si="5"/>
        <v>18891.12</v>
      </c>
      <c r="S53" s="22">
        <f t="shared" si="6"/>
        <v>0</v>
      </c>
      <c r="T53" s="193">
        <f t="shared" si="19"/>
        <v>0</v>
      </c>
      <c r="U53" s="237">
        <v>2969.5313041666664</v>
      </c>
      <c r="V53" s="25">
        <f t="shared" si="20"/>
        <v>823</v>
      </c>
      <c r="W53" s="194">
        <f t="shared" si="13"/>
        <v>0.74864055514372285</v>
      </c>
      <c r="X53" s="21">
        <f t="shared" ca="1" si="21"/>
        <v>261.80967564340256</v>
      </c>
      <c r="Y53" s="21">
        <f t="shared" ca="1" si="22"/>
        <v>-2.8663120021418593</v>
      </c>
      <c r="Z53" s="26">
        <f t="shared" ca="1" si="23"/>
        <v>2.8705202391389872</v>
      </c>
      <c r="AA53" s="21">
        <f t="shared" ca="1" si="14"/>
        <v>4.2082369971279095E-3</v>
      </c>
      <c r="AB53" s="21">
        <f t="shared" ca="1" si="24"/>
        <v>264.67598764554441</v>
      </c>
    </row>
    <row r="54" spans="1:28" ht="13.8" x14ac:dyDescent="0.3">
      <c r="A54" s="24">
        <f t="shared" si="7"/>
        <v>23</v>
      </c>
      <c r="B54" s="24">
        <f t="shared" si="25"/>
        <v>1</v>
      </c>
      <c r="C54" s="8">
        <f t="shared" si="26"/>
        <v>45550</v>
      </c>
      <c r="D54" s="25">
        <f t="shared" si="15"/>
        <v>28</v>
      </c>
      <c r="E54" s="25">
        <f t="shared" si="16"/>
        <v>23</v>
      </c>
      <c r="F54" s="26">
        <f t="shared" si="0"/>
        <v>360</v>
      </c>
      <c r="G54" s="189">
        <f t="shared" si="8"/>
        <v>13.5</v>
      </c>
      <c r="H54" s="25">
        <f t="shared" si="17"/>
        <v>31</v>
      </c>
      <c r="I54" s="22">
        <f t="shared" si="9"/>
        <v>18891.12</v>
      </c>
      <c r="J54" s="190">
        <f t="shared" si="10"/>
        <v>790.94446428571416</v>
      </c>
      <c r="K54" s="190">
        <f t="shared" si="11"/>
        <v>207.13</v>
      </c>
      <c r="L54" s="191">
        <f t="shared" si="1"/>
        <v>3.96454</v>
      </c>
      <c r="M54" s="191">
        <f t="shared" si="12"/>
        <v>211.09453999999999</v>
      </c>
      <c r="N54" s="21">
        <f t="shared" si="2"/>
        <v>1002.0390042857142</v>
      </c>
      <c r="O54" s="21">
        <f t="shared" si="3"/>
        <v>3.03</v>
      </c>
      <c r="P54" s="21">
        <f t="shared" si="18"/>
        <v>4.95</v>
      </c>
      <c r="Q54" s="243">
        <f t="shared" si="4"/>
        <v>1010.0190042857142</v>
      </c>
      <c r="R54" s="22">
        <f t="shared" si="5"/>
        <v>18100.18</v>
      </c>
      <c r="S54" s="22">
        <f t="shared" si="6"/>
        <v>0</v>
      </c>
      <c r="T54" s="193">
        <f t="shared" si="19"/>
        <v>0</v>
      </c>
      <c r="U54" s="237">
        <v>2969.5313041666664</v>
      </c>
      <c r="V54" s="25">
        <f t="shared" si="20"/>
        <v>854</v>
      </c>
      <c r="W54" s="194">
        <f t="shared" si="13"/>
        <v>0.74052136867336837</v>
      </c>
      <c r="X54" s="21">
        <f t="shared" ca="1" si="21"/>
        <v>264.67598764554441</v>
      </c>
      <c r="Y54" s="21">
        <f t="shared" ca="1" si="22"/>
        <v>-2.8977386734198216</v>
      </c>
      <c r="Z54" s="26">
        <f t="shared" ca="1" si="23"/>
        <v>2.9019469104169495</v>
      </c>
      <c r="AA54" s="21">
        <f t="shared" ca="1" si="14"/>
        <v>4.2082369971279095E-3</v>
      </c>
      <c r="AB54" s="21">
        <f t="shared" ca="1" si="24"/>
        <v>267.57372631896425</v>
      </c>
    </row>
    <row r="55" spans="1:28" ht="13.8" x14ac:dyDescent="0.3">
      <c r="A55" s="226">
        <f t="shared" si="7"/>
        <v>24</v>
      </c>
      <c r="B55" s="226">
        <f t="shared" si="25"/>
        <v>1</v>
      </c>
      <c r="C55" s="227">
        <f t="shared" si="26"/>
        <v>45580</v>
      </c>
      <c r="D55" s="228">
        <f t="shared" si="15"/>
        <v>29</v>
      </c>
      <c r="E55" s="228">
        <f t="shared" si="16"/>
        <v>24</v>
      </c>
      <c r="F55" s="229">
        <f t="shared" si="0"/>
        <v>360</v>
      </c>
      <c r="G55" s="230">
        <f t="shared" si="8"/>
        <v>13.5</v>
      </c>
      <c r="H55" s="228">
        <f t="shared" si="17"/>
        <v>30</v>
      </c>
      <c r="I55" s="231">
        <f t="shared" si="9"/>
        <v>18100.18</v>
      </c>
      <c r="J55" s="232">
        <f t="shared" si="10"/>
        <v>806.05446428571418</v>
      </c>
      <c r="K55" s="232">
        <f t="shared" si="11"/>
        <v>192.02</v>
      </c>
      <c r="L55" s="232">
        <f t="shared" si="1"/>
        <v>3.96454</v>
      </c>
      <c r="M55" s="232">
        <f t="shared" si="12"/>
        <v>195.98454000000001</v>
      </c>
      <c r="N55" s="232">
        <f t="shared" si="2"/>
        <v>1002.0390042857142</v>
      </c>
      <c r="O55" s="232">
        <f t="shared" si="3"/>
        <v>3.03</v>
      </c>
      <c r="P55" s="232">
        <f t="shared" si="18"/>
        <v>4.95</v>
      </c>
      <c r="Q55" s="245">
        <f t="shared" si="4"/>
        <v>1010.0190042857142</v>
      </c>
      <c r="R55" s="231">
        <f t="shared" si="5"/>
        <v>17294.13</v>
      </c>
      <c r="S55" s="231">
        <f t="shared" si="6"/>
        <v>0</v>
      </c>
      <c r="T55" s="234">
        <f t="shared" si="19"/>
        <v>0</v>
      </c>
      <c r="U55" s="238">
        <v>2969.5313041666664</v>
      </c>
      <c r="V55" s="25">
        <f t="shared" si="20"/>
        <v>884</v>
      </c>
      <c r="W55" s="205">
        <f t="shared" si="13"/>
        <v>0.73274794088525086</v>
      </c>
      <c r="X55" s="21">
        <f t="shared" ca="1" si="21"/>
        <v>267.57372631896425</v>
      </c>
      <c r="Y55" s="21">
        <f t="shared" ca="1" si="22"/>
        <v>-2.834373659289207</v>
      </c>
      <c r="Z55" s="26">
        <f t="shared" ca="1" si="23"/>
        <v>2.8385818962863349</v>
      </c>
      <c r="AA55" s="21">
        <f t="shared" ca="1" si="14"/>
        <v>4.2082369971279095E-3</v>
      </c>
      <c r="AB55" s="21">
        <f t="shared" ca="1" si="24"/>
        <v>270.40809997825346</v>
      </c>
    </row>
    <row r="56" spans="1:28" ht="13.8" x14ac:dyDescent="0.3">
      <c r="A56" s="24">
        <f t="shared" si="7"/>
        <v>25</v>
      </c>
      <c r="B56" s="24">
        <f t="shared" si="25"/>
        <v>1</v>
      </c>
      <c r="C56" s="8">
        <f>IF(B56="","",DATE(YEAR(EDATE($P$6,D56)),MONTH(EDATE($P$6,D56)),DAY(EDATE($P$6,D56))))</f>
        <v>45611</v>
      </c>
      <c r="D56" s="25">
        <f>IF(B56="","",IF(OR(MONTH(DATE(YEAR(C55) + 1/12,MONTH(C55)+1,DAY(C55)))=$G$16,MONTH(DATE(YEAR(C55) + 1/12,MONTH(C55)+1,DAY(C55)))=$G$17),IF(ABS($G$17-$G$16)=1,D55+1,D55 + 2),D55 + 1))</f>
        <v>30</v>
      </c>
      <c r="E56" s="25">
        <f>IF(B56="","",E55+1)</f>
        <v>25</v>
      </c>
      <c r="F56" s="26">
        <f>IF(B56="","",$P$9)</f>
        <v>360</v>
      </c>
      <c r="G56" s="189">
        <f>IF(B56="","",$G$8)</f>
        <v>13.5</v>
      </c>
      <c r="H56" s="25">
        <f>IF(B56="","",C56-C55)</f>
        <v>31</v>
      </c>
      <c r="I56" s="22">
        <f>IF(B56="","",+R55)</f>
        <v>17294.13</v>
      </c>
      <c r="J56" s="21">
        <f>IF(B56="","",IF((IF(ISERROR(MATCH(MONTH(C56),$G$18:$G$19,0))=FALSE,$I$24 + $P$28,0) + $I$24+$P$28+$R$26)-K56-T56&lt;0,0.01,IF(ISERROR(MATCH(MONTH(C56),$G$18:$G$19,0))=FALSE,$I$24 + $P$28,0)+ ($I$24+$P$28+$R$26)-K56- T56))</f>
        <v>808.45446428571415</v>
      </c>
      <c r="K56" s="21">
        <f>IF(B56="","",IF($I$24+$P$28 + $R$26&lt;ROUND(ROUND(I56*(((1+(G56/100))^(H56/F56))-1),4),2),$I$24+$P$28 + $R$26-0.01,IF(ROUND(ROUND(I56*(((1+(G56/100))^(H56/F56))-1),4),2)+ $R$26&gt;$I$24,$I$24+ $R$26+-0.01,ROUND(ROUND(I56*(((1+(G56/100))^(H56/F56))-1),4),2)+$R$26)))</f>
        <v>189.62</v>
      </c>
      <c r="L56" s="191">
        <f>IF(B56="","",IF(ISERROR(MATCH(MONTH(C56),$G$18:$G$19,0))=FALSE,$I$23,0)  + $I$23)</f>
        <v>3.96454</v>
      </c>
      <c r="M56" s="191">
        <f>IF(B56="","",K56+L56)</f>
        <v>193.58454</v>
      </c>
      <c r="N56" s="21">
        <f>IF(B56="","",J56+K56 + L56)</f>
        <v>1002.0390042857142</v>
      </c>
      <c r="O56" s="21">
        <f>IF(B56="","",$I$26)</f>
        <v>3.03</v>
      </c>
      <c r="P56" s="21">
        <f>IF(B56="","",$I$25 + T56)</f>
        <v>4.95</v>
      </c>
      <c r="Q56" s="243">
        <f>IF(B56="","",N56+O56+P56)</f>
        <v>1010.0190042857142</v>
      </c>
      <c r="R56" s="22">
        <f>IF(B56="","",ROUND(I56-J56,2))</f>
        <v>16485.68</v>
      </c>
      <c r="S56" s="22">
        <f>IF(B56="","",IF(ROUND(ROUND(I56*(((1+(G56/100))^(H56/F56))-1),4),2) - $I$24&lt;0,0,ROUND(ROUND(I56*(((1+(G56/100))^(H56/F56))-1),4),2) - $I$24))</f>
        <v>0</v>
      </c>
      <c r="T56" s="193">
        <f>IF(B56="","",IF(D56-D55&gt;1,ROUNDDOWN($G$5*$G$9/30*30,2),0))</f>
        <v>0</v>
      </c>
      <c r="V56" s="25">
        <f t="shared" si="20"/>
        <v>915</v>
      </c>
      <c r="W56" s="205">
        <f t="shared" si="13"/>
        <v>0.72480111363024946</v>
      </c>
      <c r="X56" s="21">
        <f t="shared" ca="1" si="21"/>
        <v>270.40809997825346</v>
      </c>
      <c r="Y56" s="21">
        <f t="shared" ca="1" si="22"/>
        <v>-2.9605864059324691</v>
      </c>
      <c r="Z56" s="26">
        <f t="shared" ca="1" si="23"/>
        <v>2.964794642929597</v>
      </c>
      <c r="AA56" s="21">
        <f t="shared" ca="1" si="14"/>
        <v>4.2082369971279095E-3</v>
      </c>
      <c r="AB56" s="21">
        <f t="shared" ca="1" si="24"/>
        <v>273.36868638418593</v>
      </c>
    </row>
    <row r="57" spans="1:28" ht="13.8" x14ac:dyDescent="0.3">
      <c r="A57" s="24">
        <f t="shared" si="7"/>
        <v>26</v>
      </c>
      <c r="B57" s="24">
        <f t="shared" si="25"/>
        <v>1</v>
      </c>
      <c r="C57" s="8">
        <f t="shared" ref="C57:C103" si="27">IF(B57="","",DATE(YEAR(EDATE($P$6,D57)),MONTH(EDATE($P$6,D57)),DAY(EDATE($P$6,D57))))</f>
        <v>45641</v>
      </c>
      <c r="D57" s="25">
        <f t="shared" ref="D57:D103" si="28">IF(B57="","",IF(OR(MONTH(DATE(YEAR(C56) + 1/12,MONTH(C56)+1,DAY(C56)))=$G$16,MONTH(DATE(YEAR(C56) + 1/12,MONTH(C56)+1,DAY(C56)))=$G$17),IF(ABS($G$17-$G$16)=1,D56+1,D56 + 2),D56 + 1))</f>
        <v>31</v>
      </c>
      <c r="E57" s="25">
        <f t="shared" ref="E57:E103" si="29">IF(B57="","",E56+1)</f>
        <v>26</v>
      </c>
      <c r="F57" s="26">
        <f t="shared" ref="F57:F103" si="30">IF(B57="","",$P$9)</f>
        <v>360</v>
      </c>
      <c r="G57" s="189">
        <f t="shared" ref="G57:G103" si="31">IF(B57="","",$G$8)</f>
        <v>13.5</v>
      </c>
      <c r="H57" s="25">
        <f t="shared" ref="H57:H103" si="32">IF(B57="","",C57-C56)</f>
        <v>30</v>
      </c>
      <c r="I57" s="22">
        <f t="shared" ref="I57:I103" si="33">IF(B57="","",+R56)</f>
        <v>16485.68</v>
      </c>
      <c r="J57" s="21">
        <f t="shared" ref="J57:J103" si="34">IF(B57="","",IF((IF(ISERROR(MATCH(MONTH(C57),$G$18:$G$19,0))=FALSE,$I$24 + $P$28,0) + $I$24+$P$28+$R$26)-K57-T57&lt;0,0.01,IF(ISERROR(MATCH(MONTH(C57),$G$18:$G$19,0))=FALSE,$I$24 + $P$28,0)+ ($I$24+$P$28+$R$26)-K57- T57))</f>
        <v>823.18446428571417</v>
      </c>
      <c r="K57" s="21">
        <f t="shared" ref="K57:K103" si="35">IF(B57="","",IF($I$24+$P$28 + $R$26&lt;ROUND(ROUND(I57*(((1+(G57/100))^(H57/F57))-1),4),2),$I$24+$P$28 + $R$26-0.01,IF(ROUND(ROUND(I57*(((1+(G57/100))^(H57/F57))-1),4),2)+ $R$26&gt;$I$24,$I$24+ $R$26+-0.01,ROUND(ROUND(I57*(((1+(G57/100))^(H57/F57))-1),4),2)+$R$26)))</f>
        <v>174.89</v>
      </c>
      <c r="L57" s="191">
        <f t="shared" ref="L57:L103" si="36">IF(B57="","",IF(ISERROR(MATCH(MONTH(C57),$G$18:$G$19,0))=FALSE,$I$23,0)  + $I$23)</f>
        <v>3.96454</v>
      </c>
      <c r="M57" s="191">
        <f t="shared" ref="M57:M103" si="37">IF(B57="","",K57+L57)</f>
        <v>178.85453999999999</v>
      </c>
      <c r="N57" s="21">
        <f t="shared" ref="N57:N103" si="38">IF(B57="","",J57+K57 + L57)</f>
        <v>1002.0390042857142</v>
      </c>
      <c r="O57" s="21">
        <f t="shared" ref="O57:O103" si="39">IF(B57="","",$I$26)</f>
        <v>3.03</v>
      </c>
      <c r="P57" s="21">
        <f t="shared" ref="P57:P103" si="40">IF(B57="","",$I$25 + T57)</f>
        <v>4.95</v>
      </c>
      <c r="Q57" s="243">
        <f t="shared" ref="Q57:Q103" si="41">IF(B57="","",N57+O57+P57)</f>
        <v>1010.0190042857142</v>
      </c>
      <c r="R57" s="22">
        <f t="shared" ref="R57:R103" si="42">IF(B57="","",ROUND(I57-J57,2))</f>
        <v>15662.5</v>
      </c>
      <c r="S57" s="22">
        <f t="shared" ref="S57:S103" si="43">IF(B57="","",IF(ROUND(ROUND(I57*(((1+(G57/100))^(H57/F57))-1),4),2) - $I$24&lt;0,0,ROUND(ROUND(I57*(((1+(G57/100))^(H57/F57))-1),4),2) - $I$24))</f>
        <v>0</v>
      </c>
      <c r="T57" s="193">
        <f t="shared" ref="T57:T103" si="44">IF(B57="","",IF(D57-D56&gt;1,ROUNDDOWN($G$5*$G$9/30*30,2),0))</f>
        <v>0</v>
      </c>
      <c r="V57" s="25">
        <f t="shared" si="20"/>
        <v>945</v>
      </c>
      <c r="W57" s="194">
        <f t="shared" si="13"/>
        <v>0.71719270507392996</v>
      </c>
      <c r="X57" s="21">
        <f t="shared" ca="1" si="21"/>
        <v>273.36868638418593</v>
      </c>
      <c r="Y57" s="21">
        <f t="shared" ca="1" si="22"/>
        <v>-2.8958500566811987</v>
      </c>
      <c r="Z57" s="26">
        <f t="shared" ca="1" si="23"/>
        <v>2.9000582936783266</v>
      </c>
      <c r="AA57" s="21">
        <f t="shared" ca="1" si="14"/>
        <v>4.2082369971279095E-3</v>
      </c>
      <c r="AB57" s="21">
        <f t="shared" ca="1" si="24"/>
        <v>276.26453644086712</v>
      </c>
    </row>
    <row r="58" spans="1:28" ht="13.8" x14ac:dyDescent="0.3">
      <c r="A58" s="24">
        <f t="shared" si="7"/>
        <v>27</v>
      </c>
      <c r="B58" s="24">
        <f t="shared" si="25"/>
        <v>1</v>
      </c>
      <c r="C58" s="8">
        <f t="shared" si="27"/>
        <v>45703</v>
      </c>
      <c r="D58" s="25">
        <f t="shared" si="28"/>
        <v>33</v>
      </c>
      <c r="E58" s="25">
        <f t="shared" si="29"/>
        <v>27</v>
      </c>
      <c r="F58" s="26">
        <f t="shared" si="30"/>
        <v>360</v>
      </c>
      <c r="G58" s="189">
        <f t="shared" si="31"/>
        <v>13.5</v>
      </c>
      <c r="H58" s="25">
        <f t="shared" si="32"/>
        <v>62</v>
      </c>
      <c r="I58" s="22">
        <f t="shared" si="33"/>
        <v>15662.5</v>
      </c>
      <c r="J58" s="21">
        <f t="shared" si="34"/>
        <v>647.79446428571418</v>
      </c>
      <c r="K58" s="21">
        <f t="shared" si="35"/>
        <v>345.33</v>
      </c>
      <c r="L58" s="191">
        <f t="shared" si="36"/>
        <v>3.96454</v>
      </c>
      <c r="M58" s="191">
        <f t="shared" si="37"/>
        <v>349.29453999999998</v>
      </c>
      <c r="N58" s="21">
        <f t="shared" si="38"/>
        <v>997.08900428571417</v>
      </c>
      <c r="O58" s="21">
        <f t="shared" si="39"/>
        <v>3.03</v>
      </c>
      <c r="P58" s="21">
        <f t="shared" si="40"/>
        <v>9.9</v>
      </c>
      <c r="Q58" s="243">
        <f t="shared" si="41"/>
        <v>1010.0190042857141</v>
      </c>
      <c r="R58" s="22">
        <f t="shared" si="42"/>
        <v>15014.71</v>
      </c>
      <c r="S58" s="22">
        <f t="shared" si="43"/>
        <v>0</v>
      </c>
      <c r="T58" s="193">
        <f t="shared" si="44"/>
        <v>4.95</v>
      </c>
      <c r="V58" s="25">
        <f t="shared" si="20"/>
        <v>1007</v>
      </c>
      <c r="W58" s="194">
        <f t="shared" si="13"/>
        <v>0.70172080674790105</v>
      </c>
      <c r="X58" s="21">
        <f t="shared" ca="1" si="21"/>
        <v>276.26453644086712</v>
      </c>
      <c r="Y58" s="21">
        <f t="shared" ca="1" si="22"/>
        <v>-6.0870131972223627</v>
      </c>
      <c r="Z58" s="26">
        <f t="shared" ca="1" si="23"/>
        <v>6.0912214342194906</v>
      </c>
      <c r="AA58" s="21">
        <f t="shared" ca="1" si="14"/>
        <v>4.2082369971279095E-3</v>
      </c>
      <c r="AB58" s="21">
        <f t="shared" ca="1" si="24"/>
        <v>282.35154963808947</v>
      </c>
    </row>
    <row r="59" spans="1:28" ht="13.8" x14ac:dyDescent="0.3">
      <c r="A59" s="24">
        <f t="shared" si="7"/>
        <v>28</v>
      </c>
      <c r="B59" s="24">
        <f t="shared" si="25"/>
        <v>1</v>
      </c>
      <c r="C59" s="8">
        <f t="shared" si="27"/>
        <v>45731</v>
      </c>
      <c r="D59" s="25">
        <f t="shared" si="28"/>
        <v>34</v>
      </c>
      <c r="E59" s="25">
        <f t="shared" si="29"/>
        <v>28</v>
      </c>
      <c r="F59" s="26">
        <f t="shared" si="30"/>
        <v>360</v>
      </c>
      <c r="G59" s="189">
        <f t="shared" si="31"/>
        <v>13.5</v>
      </c>
      <c r="H59" s="25">
        <f t="shared" si="32"/>
        <v>28</v>
      </c>
      <c r="I59" s="22">
        <f t="shared" si="33"/>
        <v>15014.71</v>
      </c>
      <c r="J59" s="21">
        <f t="shared" si="34"/>
        <v>849.46446428571414</v>
      </c>
      <c r="K59" s="21">
        <f t="shared" si="35"/>
        <v>148.61000000000001</v>
      </c>
      <c r="L59" s="191">
        <f t="shared" si="36"/>
        <v>3.96454</v>
      </c>
      <c r="M59" s="191">
        <f t="shared" si="37"/>
        <v>152.57454000000001</v>
      </c>
      <c r="N59" s="21">
        <f t="shared" si="38"/>
        <v>1002.0390042857142</v>
      </c>
      <c r="O59" s="21">
        <f t="shared" si="39"/>
        <v>3.03</v>
      </c>
      <c r="P59" s="21">
        <f t="shared" si="40"/>
        <v>4.95</v>
      </c>
      <c r="Q59" s="195">
        <f t="shared" si="41"/>
        <v>1010.0190042857142</v>
      </c>
      <c r="R59" s="22">
        <f t="shared" si="42"/>
        <v>14165.25</v>
      </c>
      <c r="S59" s="22">
        <f t="shared" si="43"/>
        <v>0</v>
      </c>
      <c r="T59" s="193">
        <f t="shared" si="44"/>
        <v>0</v>
      </c>
      <c r="V59" s="25">
        <f t="shared" si="20"/>
        <v>1035</v>
      </c>
      <c r="W59" s="194">
        <f t="shared" si="13"/>
        <v>0.69484333823824462</v>
      </c>
      <c r="X59" s="21">
        <f t="shared" ca="1" si="21"/>
        <v>282.35154963808947</v>
      </c>
      <c r="Y59" s="21">
        <f t="shared" ca="1" si="22"/>
        <v>-2.7904704832626073</v>
      </c>
      <c r="Z59" s="26">
        <f t="shared" ca="1" si="23"/>
        <v>2.7946787202597352</v>
      </c>
      <c r="AA59" s="21">
        <f t="shared" ca="1" si="14"/>
        <v>4.2082369971279095E-3</v>
      </c>
      <c r="AB59" s="21">
        <f t="shared" ca="1" si="24"/>
        <v>285.14202012135206</v>
      </c>
    </row>
    <row r="60" spans="1:28" ht="13.8" x14ac:dyDescent="0.3">
      <c r="A60" s="24">
        <f t="shared" si="7"/>
        <v>29</v>
      </c>
      <c r="B60" s="24">
        <f t="shared" si="25"/>
        <v>1</v>
      </c>
      <c r="C60" s="8">
        <f t="shared" si="27"/>
        <v>45762</v>
      </c>
      <c r="D60" s="25">
        <f t="shared" si="28"/>
        <v>35</v>
      </c>
      <c r="E60" s="25">
        <f t="shared" si="29"/>
        <v>29</v>
      </c>
      <c r="F60" s="26">
        <f t="shared" si="30"/>
        <v>360</v>
      </c>
      <c r="G60" s="189">
        <f t="shared" si="31"/>
        <v>13.5</v>
      </c>
      <c r="H60" s="25">
        <f t="shared" si="32"/>
        <v>31</v>
      </c>
      <c r="I60" s="22">
        <f t="shared" si="33"/>
        <v>14165.25</v>
      </c>
      <c r="J60" s="21">
        <f t="shared" si="34"/>
        <v>842.76446428571421</v>
      </c>
      <c r="K60" s="21">
        <f t="shared" si="35"/>
        <v>155.31</v>
      </c>
      <c r="L60" s="191">
        <f t="shared" si="36"/>
        <v>3.96454</v>
      </c>
      <c r="M60" s="191">
        <f t="shared" si="37"/>
        <v>159.27454</v>
      </c>
      <c r="N60" s="21">
        <f t="shared" si="38"/>
        <v>1002.0390042857142</v>
      </c>
      <c r="O60" s="21">
        <f t="shared" si="39"/>
        <v>3.03</v>
      </c>
      <c r="P60" s="21">
        <f t="shared" si="40"/>
        <v>4.95</v>
      </c>
      <c r="Q60" s="195">
        <f t="shared" si="41"/>
        <v>1010.0190042857142</v>
      </c>
      <c r="R60" s="22">
        <f t="shared" si="42"/>
        <v>13322.49</v>
      </c>
      <c r="S60" s="22">
        <f t="shared" si="43"/>
        <v>0</v>
      </c>
      <c r="T60" s="193">
        <f t="shared" si="44"/>
        <v>0</v>
      </c>
      <c r="V60" s="25">
        <f t="shared" si="20"/>
        <v>1066</v>
      </c>
      <c r="W60" s="194">
        <f t="shared" si="13"/>
        <v>0.68730759549484377</v>
      </c>
      <c r="X60" s="21">
        <f t="shared" ca="1" si="21"/>
        <v>285.14202012135206</v>
      </c>
      <c r="Y60" s="21">
        <f t="shared" ca="1" si="22"/>
        <v>-3.1221312986820733</v>
      </c>
      <c r="Z60" s="26">
        <f t="shared" ca="1" si="23"/>
        <v>3.1263395356792012</v>
      </c>
      <c r="AA60" s="21">
        <f t="shared" ca="1" si="14"/>
        <v>4.2082369971279095E-3</v>
      </c>
      <c r="AB60" s="21">
        <f t="shared" ca="1" si="24"/>
        <v>288.26415142003412</v>
      </c>
    </row>
    <row r="61" spans="1:28" ht="13.8" x14ac:dyDescent="0.3">
      <c r="A61" s="24">
        <f t="shared" si="7"/>
        <v>30</v>
      </c>
      <c r="B61" s="24">
        <f t="shared" si="25"/>
        <v>1</v>
      </c>
      <c r="C61" s="8">
        <f t="shared" si="27"/>
        <v>45792</v>
      </c>
      <c r="D61" s="25">
        <f t="shared" si="28"/>
        <v>36</v>
      </c>
      <c r="E61" s="25">
        <f t="shared" si="29"/>
        <v>30</v>
      </c>
      <c r="F61" s="26">
        <f t="shared" si="30"/>
        <v>360</v>
      </c>
      <c r="G61" s="189">
        <f t="shared" si="31"/>
        <v>13.5</v>
      </c>
      <c r="H61" s="25">
        <f t="shared" si="32"/>
        <v>30</v>
      </c>
      <c r="I61" s="22">
        <f t="shared" si="33"/>
        <v>13322.49</v>
      </c>
      <c r="J61" s="21">
        <f t="shared" si="34"/>
        <v>856.74446428571412</v>
      </c>
      <c r="K61" s="21">
        <f t="shared" si="35"/>
        <v>141.33000000000001</v>
      </c>
      <c r="L61" s="191">
        <f t="shared" si="36"/>
        <v>3.96454</v>
      </c>
      <c r="M61" s="191">
        <f t="shared" si="37"/>
        <v>145.29454000000001</v>
      </c>
      <c r="N61" s="21">
        <f t="shared" si="38"/>
        <v>1002.0390042857142</v>
      </c>
      <c r="O61" s="21">
        <f t="shared" si="39"/>
        <v>3.03</v>
      </c>
      <c r="P61" s="21">
        <f t="shared" si="40"/>
        <v>4.95</v>
      </c>
      <c r="Q61" s="195">
        <f t="shared" si="41"/>
        <v>1010.0190042857142</v>
      </c>
      <c r="R61" s="22">
        <f t="shared" si="42"/>
        <v>12465.75</v>
      </c>
      <c r="S61" s="22">
        <f t="shared" si="43"/>
        <v>0</v>
      </c>
      <c r="T61" s="193">
        <f t="shared" si="44"/>
        <v>0</v>
      </c>
      <c r="V61" s="25">
        <f t="shared" si="20"/>
        <v>1096</v>
      </c>
      <c r="W61" s="205">
        <f t="shared" si="13"/>
        <v>0.68009276525790507</v>
      </c>
      <c r="X61" s="21">
        <f t="shared" ca="1" si="21"/>
        <v>288.26415142003412</v>
      </c>
      <c r="Y61" s="21">
        <f t="shared" ca="1" si="22"/>
        <v>-3.0538700460471278</v>
      </c>
      <c r="Z61" s="26">
        <f t="shared" ca="1" si="23"/>
        <v>3.0580782830442557</v>
      </c>
      <c r="AA61" s="21">
        <f t="shared" ca="1" si="14"/>
        <v>4.2082369971279095E-3</v>
      </c>
      <c r="AB61" s="21">
        <f t="shared" ca="1" si="24"/>
        <v>291.31802146608123</v>
      </c>
    </row>
    <row r="62" spans="1:28" ht="13.8" x14ac:dyDescent="0.3">
      <c r="A62" s="24">
        <f t="shared" si="7"/>
        <v>31</v>
      </c>
      <c r="B62" s="24">
        <f t="shared" si="25"/>
        <v>1</v>
      </c>
      <c r="C62" s="8">
        <f t="shared" si="27"/>
        <v>45853</v>
      </c>
      <c r="D62" s="25">
        <f t="shared" si="28"/>
        <v>38</v>
      </c>
      <c r="E62" s="25">
        <f t="shared" si="29"/>
        <v>31</v>
      </c>
      <c r="F62" s="26">
        <f t="shared" si="30"/>
        <v>360</v>
      </c>
      <c r="G62" s="189">
        <f t="shared" si="31"/>
        <v>13.5</v>
      </c>
      <c r="H62" s="25">
        <f t="shared" si="32"/>
        <v>61</v>
      </c>
      <c r="I62" s="22">
        <f t="shared" si="33"/>
        <v>12465.75</v>
      </c>
      <c r="J62" s="21">
        <f t="shared" si="34"/>
        <v>722.75446428571411</v>
      </c>
      <c r="K62" s="21">
        <f t="shared" si="35"/>
        <v>270.37</v>
      </c>
      <c r="L62" s="191">
        <f t="shared" si="36"/>
        <v>3.96454</v>
      </c>
      <c r="M62" s="191">
        <f t="shared" si="37"/>
        <v>274.33454</v>
      </c>
      <c r="N62" s="21">
        <f t="shared" si="38"/>
        <v>997.08900428571417</v>
      </c>
      <c r="O62" s="21">
        <f t="shared" si="39"/>
        <v>3.03</v>
      </c>
      <c r="P62" s="21">
        <f t="shared" si="40"/>
        <v>9.9</v>
      </c>
      <c r="Q62" s="195">
        <f t="shared" si="41"/>
        <v>1010.0190042857141</v>
      </c>
      <c r="R62" s="22">
        <f t="shared" si="42"/>
        <v>11743</v>
      </c>
      <c r="S62" s="22">
        <f t="shared" si="43"/>
        <v>0</v>
      </c>
      <c r="T62" s="193">
        <f t="shared" si="44"/>
        <v>4.95</v>
      </c>
      <c r="V62" s="25">
        <f t="shared" si="20"/>
        <v>1157</v>
      </c>
      <c r="W62" s="205">
        <f t="shared" si="13"/>
        <v>0.66565532675158956</v>
      </c>
      <c r="X62" s="21">
        <f t="shared" ca="1" si="21"/>
        <v>291.31802146608123</v>
      </c>
      <c r="Y62" s="21">
        <f t="shared" ca="1" si="22"/>
        <v>-6.3142058906608884</v>
      </c>
      <c r="Z62" s="26">
        <f t="shared" ca="1" si="23"/>
        <v>6.3184141276580164</v>
      </c>
      <c r="AA62" s="21">
        <f t="shared" ca="1" si="14"/>
        <v>4.2082369971279095E-3</v>
      </c>
      <c r="AB62" s="21">
        <f t="shared" ca="1" si="24"/>
        <v>297.63222735674213</v>
      </c>
    </row>
    <row r="63" spans="1:28" ht="13.8" x14ac:dyDescent="0.3">
      <c r="A63" s="24">
        <f t="shared" si="7"/>
        <v>32</v>
      </c>
      <c r="B63" s="24">
        <f t="shared" si="25"/>
        <v>1</v>
      </c>
      <c r="C63" s="8">
        <f t="shared" si="27"/>
        <v>45884</v>
      </c>
      <c r="D63" s="25">
        <f t="shared" si="28"/>
        <v>39</v>
      </c>
      <c r="E63" s="25">
        <f t="shared" si="29"/>
        <v>32</v>
      </c>
      <c r="F63" s="26">
        <f t="shared" si="30"/>
        <v>360</v>
      </c>
      <c r="G63" s="189">
        <f t="shared" si="31"/>
        <v>13.5</v>
      </c>
      <c r="H63" s="25">
        <f t="shared" si="32"/>
        <v>31</v>
      </c>
      <c r="I63" s="22">
        <f t="shared" si="33"/>
        <v>11743</v>
      </c>
      <c r="J63" s="21">
        <f t="shared" si="34"/>
        <v>869.32446428571416</v>
      </c>
      <c r="K63" s="21">
        <f t="shared" si="35"/>
        <v>128.75</v>
      </c>
      <c r="L63" s="191">
        <f t="shared" si="36"/>
        <v>3.96454</v>
      </c>
      <c r="M63" s="191">
        <f t="shared" si="37"/>
        <v>132.71454</v>
      </c>
      <c r="N63" s="21">
        <f t="shared" si="38"/>
        <v>1002.0390042857142</v>
      </c>
      <c r="O63" s="21">
        <f t="shared" si="39"/>
        <v>3.03</v>
      </c>
      <c r="P63" s="21">
        <f t="shared" si="40"/>
        <v>4.95</v>
      </c>
      <c r="Q63" s="195">
        <f t="shared" si="41"/>
        <v>1010.0190042857142</v>
      </c>
      <c r="R63" s="22">
        <f t="shared" si="42"/>
        <v>10873.68</v>
      </c>
      <c r="S63" s="22">
        <f t="shared" si="43"/>
        <v>0</v>
      </c>
      <c r="T63" s="193">
        <f t="shared" si="44"/>
        <v>0</v>
      </c>
      <c r="V63" s="25">
        <f t="shared" si="20"/>
        <v>1188</v>
      </c>
      <c r="W63" s="194">
        <f t="shared" si="13"/>
        <v>0.65843613499695208</v>
      </c>
      <c r="X63" s="21">
        <f t="shared" ca="1" si="21"/>
        <v>297.63222735674213</v>
      </c>
      <c r="Y63" s="21">
        <f t="shared" ca="1" si="22"/>
        <v>-3.2590757892633206</v>
      </c>
      <c r="Z63" s="26">
        <f t="shared" ca="1" si="23"/>
        <v>3.2632840262604486</v>
      </c>
      <c r="AA63" s="21">
        <f t="shared" ca="1" si="14"/>
        <v>4.2082369971279095E-3</v>
      </c>
      <c r="AB63" s="21">
        <f t="shared" ca="1" si="24"/>
        <v>300.89130314600544</v>
      </c>
    </row>
    <row r="64" spans="1:28" ht="13.8" x14ac:dyDescent="0.3">
      <c r="A64" s="24">
        <f t="shared" si="7"/>
        <v>33</v>
      </c>
      <c r="B64" s="24">
        <f t="shared" si="25"/>
        <v>1</v>
      </c>
      <c r="C64" s="8">
        <f t="shared" si="27"/>
        <v>45915</v>
      </c>
      <c r="D64" s="25">
        <f t="shared" si="28"/>
        <v>40</v>
      </c>
      <c r="E64" s="25">
        <f t="shared" si="29"/>
        <v>33</v>
      </c>
      <c r="F64" s="26">
        <f t="shared" si="30"/>
        <v>360</v>
      </c>
      <c r="G64" s="189">
        <f t="shared" si="31"/>
        <v>13.5</v>
      </c>
      <c r="H64" s="25">
        <f t="shared" si="32"/>
        <v>31</v>
      </c>
      <c r="I64" s="22">
        <f t="shared" si="33"/>
        <v>10873.68</v>
      </c>
      <c r="J64" s="21">
        <f t="shared" si="34"/>
        <v>878.85446428571413</v>
      </c>
      <c r="K64" s="21">
        <f t="shared" si="35"/>
        <v>119.22</v>
      </c>
      <c r="L64" s="191">
        <f t="shared" si="36"/>
        <v>3.96454</v>
      </c>
      <c r="M64" s="191">
        <f t="shared" si="37"/>
        <v>123.18454</v>
      </c>
      <c r="N64" s="21">
        <f t="shared" si="38"/>
        <v>1002.0390042857142</v>
      </c>
      <c r="O64" s="21">
        <f t="shared" si="39"/>
        <v>3.03</v>
      </c>
      <c r="P64" s="21">
        <f t="shared" si="40"/>
        <v>4.95</v>
      </c>
      <c r="Q64" s="195">
        <f t="shared" si="41"/>
        <v>1010.0190042857142</v>
      </c>
      <c r="R64" s="22">
        <f t="shared" si="42"/>
        <v>9994.83</v>
      </c>
      <c r="S64" s="22">
        <f t="shared" si="43"/>
        <v>0</v>
      </c>
      <c r="T64" s="193">
        <f t="shared" si="44"/>
        <v>0</v>
      </c>
      <c r="V64" s="25">
        <f t="shared" si="20"/>
        <v>1219</v>
      </c>
      <c r="W64" s="194">
        <f t="shared" si="13"/>
        <v>0.65129523710926884</v>
      </c>
      <c r="X64" s="21">
        <f t="shared" ca="1" si="21"/>
        <v>300.89130314600544</v>
      </c>
      <c r="Y64" s="21">
        <f t="shared" ca="1" si="22"/>
        <v>-3.2948087811436912</v>
      </c>
      <c r="Z64" s="26">
        <f t="shared" ca="1" si="23"/>
        <v>3.2990170181408192</v>
      </c>
      <c r="AA64" s="21">
        <f t="shared" ca="1" si="14"/>
        <v>4.2082369971279095E-3</v>
      </c>
      <c r="AB64" s="21">
        <f t="shared" ca="1" si="24"/>
        <v>304.18611192714911</v>
      </c>
    </row>
    <row r="65" spans="1:28" ht="13.8" x14ac:dyDescent="0.3">
      <c r="A65" s="24">
        <f t="shared" ref="A65:A96" si="45">+IF(A64&gt;=$G$12,"",A64+1)</f>
        <v>34</v>
      </c>
      <c r="B65" s="24">
        <f t="shared" si="25"/>
        <v>1</v>
      </c>
      <c r="C65" s="8">
        <f t="shared" si="27"/>
        <v>45945</v>
      </c>
      <c r="D65" s="25">
        <f t="shared" si="28"/>
        <v>41</v>
      </c>
      <c r="E65" s="25">
        <f t="shared" si="29"/>
        <v>34</v>
      </c>
      <c r="F65" s="26">
        <f t="shared" si="30"/>
        <v>360</v>
      </c>
      <c r="G65" s="189">
        <f t="shared" si="31"/>
        <v>13.5</v>
      </c>
      <c r="H65" s="25">
        <f t="shared" si="32"/>
        <v>30</v>
      </c>
      <c r="I65" s="22">
        <f t="shared" si="33"/>
        <v>9994.83</v>
      </c>
      <c r="J65" s="21">
        <f t="shared" si="34"/>
        <v>892.04446428571418</v>
      </c>
      <c r="K65" s="21">
        <f t="shared" si="35"/>
        <v>106.03</v>
      </c>
      <c r="L65" s="191">
        <f t="shared" si="36"/>
        <v>3.96454</v>
      </c>
      <c r="M65" s="191">
        <f t="shared" si="37"/>
        <v>109.99454</v>
      </c>
      <c r="N65" s="21">
        <f t="shared" si="38"/>
        <v>1002.0390042857142</v>
      </c>
      <c r="O65" s="21">
        <f t="shared" si="39"/>
        <v>3.03</v>
      </c>
      <c r="P65" s="21">
        <f t="shared" si="40"/>
        <v>4.95</v>
      </c>
      <c r="Q65" s="195">
        <f t="shared" si="41"/>
        <v>1010.0190042857142</v>
      </c>
      <c r="R65" s="22">
        <f t="shared" si="42"/>
        <v>9102.7900000000009</v>
      </c>
      <c r="S65" s="22">
        <f t="shared" si="43"/>
        <v>0</v>
      </c>
      <c r="T65" s="193">
        <f t="shared" si="44"/>
        <v>0</v>
      </c>
      <c r="V65" s="25">
        <f t="shared" si="20"/>
        <v>1249</v>
      </c>
      <c r="W65" s="194">
        <f t="shared" si="13"/>
        <v>0.64445843710782713</v>
      </c>
      <c r="X65" s="21">
        <f t="shared" ca="1" si="21"/>
        <v>304.18611192714911</v>
      </c>
      <c r="Y65" s="21">
        <f t="shared" ca="1" si="22"/>
        <v>-3.2227797124431716</v>
      </c>
      <c r="Z65" s="26">
        <f t="shared" ca="1" si="23"/>
        <v>3.2269879494402995</v>
      </c>
      <c r="AA65" s="21">
        <f t="shared" ca="1" si="14"/>
        <v>4.2082369971279095E-3</v>
      </c>
      <c r="AB65" s="21">
        <f t="shared" ca="1" si="24"/>
        <v>307.4088916395923</v>
      </c>
    </row>
    <row r="66" spans="1:28" ht="13.8" x14ac:dyDescent="0.3">
      <c r="A66" s="24">
        <f t="shared" si="45"/>
        <v>35</v>
      </c>
      <c r="B66" s="24">
        <f t="shared" si="25"/>
        <v>1</v>
      </c>
      <c r="C66" s="8">
        <f t="shared" si="27"/>
        <v>45976</v>
      </c>
      <c r="D66" s="25">
        <f t="shared" si="28"/>
        <v>42</v>
      </c>
      <c r="E66" s="25">
        <f t="shared" si="29"/>
        <v>35</v>
      </c>
      <c r="F66" s="26">
        <f t="shared" si="30"/>
        <v>360</v>
      </c>
      <c r="G66" s="189">
        <f t="shared" si="31"/>
        <v>13.5</v>
      </c>
      <c r="H66" s="25">
        <f t="shared" si="32"/>
        <v>31</v>
      </c>
      <c r="I66" s="22">
        <f t="shared" si="33"/>
        <v>9102.7900000000009</v>
      </c>
      <c r="J66" s="21">
        <f t="shared" si="34"/>
        <v>898.2744642857142</v>
      </c>
      <c r="K66" s="21">
        <f t="shared" si="35"/>
        <v>99.8</v>
      </c>
      <c r="L66" s="191">
        <f t="shared" si="36"/>
        <v>3.96454</v>
      </c>
      <c r="M66" s="191">
        <f t="shared" si="37"/>
        <v>103.76454</v>
      </c>
      <c r="N66" s="21">
        <f t="shared" si="38"/>
        <v>1002.0390042857142</v>
      </c>
      <c r="O66" s="21">
        <f t="shared" si="39"/>
        <v>3.03</v>
      </c>
      <c r="P66" s="21">
        <f t="shared" si="40"/>
        <v>4.95</v>
      </c>
      <c r="Q66" s="195">
        <f t="shared" si="41"/>
        <v>1010.0190042857142</v>
      </c>
      <c r="R66" s="22">
        <f t="shared" si="42"/>
        <v>8204.52</v>
      </c>
      <c r="S66" s="22">
        <f t="shared" si="43"/>
        <v>0</v>
      </c>
      <c r="T66" s="193">
        <f t="shared" si="44"/>
        <v>0</v>
      </c>
      <c r="V66" s="25">
        <f t="shared" si="20"/>
        <v>1280</v>
      </c>
      <c r="W66" s="194">
        <f t="shared" si="13"/>
        <v>0.63746913070795264</v>
      </c>
      <c r="X66" s="21">
        <f t="shared" ca="1" si="21"/>
        <v>307.4088916395923</v>
      </c>
      <c r="Y66" s="21">
        <f t="shared" ca="1" si="22"/>
        <v>-3.3662685911573704</v>
      </c>
      <c r="Z66" s="26">
        <f t="shared" ca="1" si="23"/>
        <v>3.3704768281544983</v>
      </c>
      <c r="AA66" s="21">
        <f t="shared" ca="1" si="14"/>
        <v>4.2082369971279095E-3</v>
      </c>
      <c r="AB66" s="21">
        <f t="shared" ca="1" si="24"/>
        <v>310.77516023074969</v>
      </c>
    </row>
    <row r="67" spans="1:28" ht="13.8" x14ac:dyDescent="0.3">
      <c r="A67" s="24">
        <f t="shared" si="45"/>
        <v>36</v>
      </c>
      <c r="B67" s="24">
        <f t="shared" si="25"/>
        <v>1</v>
      </c>
      <c r="C67" s="8">
        <f t="shared" si="27"/>
        <v>46006</v>
      </c>
      <c r="D67" s="25">
        <f t="shared" si="28"/>
        <v>43</v>
      </c>
      <c r="E67" s="25">
        <f t="shared" si="29"/>
        <v>36</v>
      </c>
      <c r="F67" s="26">
        <f t="shared" si="30"/>
        <v>360</v>
      </c>
      <c r="G67" s="189">
        <f t="shared" si="31"/>
        <v>13.5</v>
      </c>
      <c r="H67" s="25">
        <f t="shared" si="32"/>
        <v>30</v>
      </c>
      <c r="I67" s="22">
        <f t="shared" si="33"/>
        <v>8204.52</v>
      </c>
      <c r="J67" s="21">
        <f t="shared" si="34"/>
        <v>911.03446428571419</v>
      </c>
      <c r="K67" s="21">
        <f t="shared" si="35"/>
        <v>87.04</v>
      </c>
      <c r="L67" s="191">
        <f t="shared" si="36"/>
        <v>3.96454</v>
      </c>
      <c r="M67" s="191">
        <f t="shared" si="37"/>
        <v>91.004540000000006</v>
      </c>
      <c r="N67" s="21">
        <f t="shared" si="38"/>
        <v>1002.0390042857142</v>
      </c>
      <c r="O67" s="21">
        <f t="shared" si="39"/>
        <v>3.03</v>
      </c>
      <c r="P67" s="21">
        <f t="shared" si="40"/>
        <v>4.95</v>
      </c>
      <c r="Q67" s="195">
        <f t="shared" si="41"/>
        <v>1010.0190042857142</v>
      </c>
      <c r="R67" s="22">
        <f t="shared" si="42"/>
        <v>7293.49</v>
      </c>
      <c r="S67" s="22">
        <f t="shared" si="43"/>
        <v>0</v>
      </c>
      <c r="T67" s="193">
        <f t="shared" si="44"/>
        <v>0</v>
      </c>
      <c r="V67" s="25">
        <f t="shared" si="20"/>
        <v>1310</v>
      </c>
      <c r="W67" s="205">
        <f t="shared" si="13"/>
        <v>0.63077746661243883</v>
      </c>
      <c r="X67" s="21">
        <f t="shared" ca="1" si="21"/>
        <v>310.77516023074969</v>
      </c>
      <c r="Y67" s="21">
        <f t="shared" ca="1" si="22"/>
        <v>-3.2926802721343762</v>
      </c>
      <c r="Z67" s="26">
        <f t="shared" ca="1" si="23"/>
        <v>3.2968885091315041</v>
      </c>
      <c r="AA67" s="21">
        <f t="shared" ca="1" si="14"/>
        <v>4.2082369971279095E-3</v>
      </c>
      <c r="AB67" s="21">
        <f t="shared" ca="1" si="24"/>
        <v>314.06784050288405</v>
      </c>
    </row>
    <row r="68" spans="1:28" ht="13.8" x14ac:dyDescent="0.3">
      <c r="A68" s="24">
        <f t="shared" si="45"/>
        <v>37</v>
      </c>
      <c r="B68" s="24">
        <f t="shared" si="25"/>
        <v>1</v>
      </c>
      <c r="C68" s="8">
        <f t="shared" si="27"/>
        <v>46068</v>
      </c>
      <c r="D68" s="25">
        <f t="shared" si="28"/>
        <v>45</v>
      </c>
      <c r="E68" s="25">
        <f t="shared" si="29"/>
        <v>37</v>
      </c>
      <c r="F68" s="26">
        <f t="shared" si="30"/>
        <v>360</v>
      </c>
      <c r="G68" s="189">
        <f t="shared" si="31"/>
        <v>13.5</v>
      </c>
      <c r="H68" s="25">
        <f t="shared" si="32"/>
        <v>62</v>
      </c>
      <c r="I68" s="22">
        <f t="shared" si="33"/>
        <v>7293.49</v>
      </c>
      <c r="J68" s="21">
        <f t="shared" si="34"/>
        <v>832.31446428571417</v>
      </c>
      <c r="K68" s="21">
        <f t="shared" si="35"/>
        <v>160.81</v>
      </c>
      <c r="L68" s="191">
        <f t="shared" si="36"/>
        <v>3.96454</v>
      </c>
      <c r="M68" s="191">
        <f t="shared" si="37"/>
        <v>164.77454</v>
      </c>
      <c r="N68" s="21">
        <f t="shared" si="38"/>
        <v>997.08900428571417</v>
      </c>
      <c r="O68" s="21">
        <f t="shared" si="39"/>
        <v>3.03</v>
      </c>
      <c r="P68" s="21">
        <f t="shared" si="40"/>
        <v>9.9</v>
      </c>
      <c r="Q68" s="195">
        <f t="shared" si="41"/>
        <v>1010.0190042857141</v>
      </c>
      <c r="R68" s="22">
        <f t="shared" si="42"/>
        <v>6461.18</v>
      </c>
      <c r="S68" s="22">
        <f t="shared" si="43"/>
        <v>0</v>
      </c>
      <c r="T68" s="193">
        <f t="shared" si="44"/>
        <v>4.95</v>
      </c>
      <c r="V68" s="25">
        <f t="shared" si="20"/>
        <v>1372</v>
      </c>
      <c r="W68" s="194">
        <f t="shared" si="13"/>
        <v>0.61716979218862866</v>
      </c>
      <c r="X68" s="21">
        <f t="shared" ca="1" si="21"/>
        <v>314.06784050288405</v>
      </c>
      <c r="Y68" s="21">
        <f t="shared" ca="1" si="22"/>
        <v>-6.9205197303208008</v>
      </c>
      <c r="Z68" s="26">
        <f t="shared" ca="1" si="23"/>
        <v>6.9247279673179287</v>
      </c>
      <c r="AA68" s="21">
        <f t="shared" ca="1" si="14"/>
        <v>4.2082369971279095E-3</v>
      </c>
      <c r="AB68" s="21">
        <f t="shared" ca="1" si="24"/>
        <v>320.98836023320484</v>
      </c>
    </row>
    <row r="69" spans="1:28" ht="13.8" x14ac:dyDescent="0.3">
      <c r="A69" s="24">
        <f t="shared" si="45"/>
        <v>38</v>
      </c>
      <c r="B69" s="24">
        <f t="shared" si="25"/>
        <v>1</v>
      </c>
      <c r="C69" s="8">
        <f t="shared" si="27"/>
        <v>46096</v>
      </c>
      <c r="D69" s="25">
        <f t="shared" si="28"/>
        <v>46</v>
      </c>
      <c r="E69" s="25">
        <f t="shared" si="29"/>
        <v>38</v>
      </c>
      <c r="F69" s="26">
        <f t="shared" si="30"/>
        <v>360</v>
      </c>
      <c r="G69" s="189">
        <f t="shared" si="31"/>
        <v>13.5</v>
      </c>
      <c r="H69" s="25">
        <f t="shared" si="32"/>
        <v>28</v>
      </c>
      <c r="I69" s="22">
        <f t="shared" si="33"/>
        <v>6461.18</v>
      </c>
      <c r="J69" s="21">
        <f t="shared" si="34"/>
        <v>934.12446428571411</v>
      </c>
      <c r="K69" s="21">
        <f t="shared" si="35"/>
        <v>63.95</v>
      </c>
      <c r="L69" s="191">
        <f t="shared" si="36"/>
        <v>3.96454</v>
      </c>
      <c r="M69" s="191">
        <f t="shared" si="37"/>
        <v>67.914540000000002</v>
      </c>
      <c r="N69" s="21">
        <f t="shared" si="38"/>
        <v>1002.0390042857142</v>
      </c>
      <c r="O69" s="21">
        <f t="shared" si="39"/>
        <v>3.03</v>
      </c>
      <c r="P69" s="21">
        <f t="shared" si="40"/>
        <v>4.95</v>
      </c>
      <c r="Q69" s="195">
        <f t="shared" si="41"/>
        <v>1010.0190042857142</v>
      </c>
      <c r="R69" s="22">
        <f t="shared" si="42"/>
        <v>5527.06</v>
      </c>
      <c r="S69" s="22">
        <f t="shared" si="43"/>
        <v>0</v>
      </c>
      <c r="T69" s="193">
        <f t="shared" si="44"/>
        <v>0</v>
      </c>
      <c r="V69" s="25">
        <f t="shared" si="20"/>
        <v>1400</v>
      </c>
      <c r="W69" s="194">
        <f t="shared" si="13"/>
        <v>0.61112099647091334</v>
      </c>
      <c r="X69" s="21">
        <f t="shared" ca="1" si="21"/>
        <v>320.98836023320484</v>
      </c>
      <c r="Y69" s="21">
        <f t="shared" ca="1" si="22"/>
        <v>-3.172892582688934</v>
      </c>
      <c r="Z69" s="26">
        <f t="shared" ca="1" si="23"/>
        <v>3.1771008196860619</v>
      </c>
      <c r="AA69" s="21">
        <f t="shared" ca="1" si="14"/>
        <v>4.2082369971279095E-3</v>
      </c>
      <c r="AB69" s="21">
        <f t="shared" ca="1" si="24"/>
        <v>324.16125281589376</v>
      </c>
    </row>
    <row r="70" spans="1:28" ht="13.8" x14ac:dyDescent="0.3">
      <c r="A70" s="24">
        <f t="shared" si="45"/>
        <v>39</v>
      </c>
      <c r="B70" s="24">
        <f t="shared" si="25"/>
        <v>1</v>
      </c>
      <c r="C70" s="8">
        <f t="shared" si="27"/>
        <v>46127</v>
      </c>
      <c r="D70" s="25">
        <f t="shared" si="28"/>
        <v>47</v>
      </c>
      <c r="E70" s="25">
        <f t="shared" si="29"/>
        <v>39</v>
      </c>
      <c r="F70" s="26">
        <f t="shared" si="30"/>
        <v>360</v>
      </c>
      <c r="G70" s="189">
        <f t="shared" si="31"/>
        <v>13.5</v>
      </c>
      <c r="H70" s="25">
        <f t="shared" si="32"/>
        <v>31</v>
      </c>
      <c r="I70" s="22">
        <f t="shared" si="33"/>
        <v>5527.06</v>
      </c>
      <c r="J70" s="21">
        <f t="shared" si="34"/>
        <v>937.47446428571413</v>
      </c>
      <c r="K70" s="21">
        <f t="shared" si="35"/>
        <v>60.6</v>
      </c>
      <c r="L70" s="191">
        <f t="shared" si="36"/>
        <v>3.96454</v>
      </c>
      <c r="M70" s="191">
        <f t="shared" si="37"/>
        <v>64.564540000000008</v>
      </c>
      <c r="N70" s="21">
        <f t="shared" si="38"/>
        <v>1002.0390042857142</v>
      </c>
      <c r="O70" s="21">
        <f t="shared" si="39"/>
        <v>3.03</v>
      </c>
      <c r="P70" s="21">
        <f t="shared" si="40"/>
        <v>4.95</v>
      </c>
      <c r="Q70" s="195">
        <f t="shared" si="41"/>
        <v>1010.0190042857142</v>
      </c>
      <c r="R70" s="22">
        <f t="shared" si="42"/>
        <v>4589.59</v>
      </c>
      <c r="S70" s="22">
        <f t="shared" si="43"/>
        <v>0</v>
      </c>
      <c r="T70" s="193">
        <f t="shared" si="44"/>
        <v>0</v>
      </c>
      <c r="V70" s="25">
        <f t="shared" si="20"/>
        <v>1431</v>
      </c>
      <c r="W70" s="194">
        <f t="shared" si="13"/>
        <v>0.60449324261466697</v>
      </c>
      <c r="X70" s="21">
        <f t="shared" ca="1" si="21"/>
        <v>324.16125281589376</v>
      </c>
      <c r="Y70" s="21">
        <f t="shared" ca="1" si="22"/>
        <v>-3.5499439717244266</v>
      </c>
      <c r="Z70" s="26">
        <f t="shared" ca="1" si="23"/>
        <v>3.5541522087215545</v>
      </c>
      <c r="AA70" s="21">
        <f t="shared" ca="1" si="14"/>
        <v>4.2082369971279095E-3</v>
      </c>
      <c r="AB70" s="21">
        <f t="shared" ca="1" si="24"/>
        <v>327.71119678761818</v>
      </c>
    </row>
    <row r="71" spans="1:28" ht="13.8" x14ac:dyDescent="0.3">
      <c r="A71" s="24">
        <f t="shared" si="45"/>
        <v>40</v>
      </c>
      <c r="B71" s="24">
        <f t="shared" si="25"/>
        <v>1</v>
      </c>
      <c r="C71" s="8">
        <f t="shared" si="27"/>
        <v>46157</v>
      </c>
      <c r="D71" s="25">
        <f t="shared" si="28"/>
        <v>48</v>
      </c>
      <c r="E71" s="25">
        <f t="shared" si="29"/>
        <v>40</v>
      </c>
      <c r="F71" s="26">
        <f t="shared" si="30"/>
        <v>360</v>
      </c>
      <c r="G71" s="189">
        <f t="shared" si="31"/>
        <v>13.5</v>
      </c>
      <c r="H71" s="25">
        <f t="shared" si="32"/>
        <v>30</v>
      </c>
      <c r="I71" s="22">
        <f t="shared" si="33"/>
        <v>4589.59</v>
      </c>
      <c r="J71" s="21">
        <f t="shared" si="34"/>
        <v>949.3844642857141</v>
      </c>
      <c r="K71" s="21">
        <f t="shared" si="35"/>
        <v>48.69</v>
      </c>
      <c r="L71" s="191">
        <f t="shared" si="36"/>
        <v>3.96454</v>
      </c>
      <c r="M71" s="191">
        <f t="shared" si="37"/>
        <v>52.654539999999997</v>
      </c>
      <c r="N71" s="21">
        <f t="shared" si="38"/>
        <v>1002.0390042857142</v>
      </c>
      <c r="O71" s="21">
        <f t="shared" si="39"/>
        <v>3.03</v>
      </c>
      <c r="P71" s="21">
        <f t="shared" si="40"/>
        <v>4.95</v>
      </c>
      <c r="Q71" s="195">
        <f t="shared" si="41"/>
        <v>1010.0190042857142</v>
      </c>
      <c r="R71" s="22">
        <f t="shared" si="42"/>
        <v>3640.21</v>
      </c>
      <c r="S71" s="22">
        <f t="shared" si="43"/>
        <v>0</v>
      </c>
      <c r="T71" s="193">
        <f t="shared" si="44"/>
        <v>0</v>
      </c>
      <c r="V71" s="25">
        <f t="shared" si="20"/>
        <v>1461</v>
      </c>
      <c r="W71" s="194">
        <f t="shared" si="13"/>
        <v>0.59814773420849054</v>
      </c>
      <c r="X71" s="21">
        <f t="shared" ca="1" si="21"/>
        <v>327.71119678761818</v>
      </c>
      <c r="Y71" s="21">
        <f t="shared" ca="1" si="22"/>
        <v>-3.4723478629196647</v>
      </c>
      <c r="Z71" s="26">
        <f t="shared" ca="1" si="23"/>
        <v>3.4765560999167926</v>
      </c>
      <c r="AA71" s="21">
        <f t="shared" ca="1" si="14"/>
        <v>4.2082369971279095E-3</v>
      </c>
      <c r="AB71" s="21">
        <f t="shared" ca="1" si="24"/>
        <v>331.18354465053784</v>
      </c>
    </row>
    <row r="72" spans="1:28" ht="13.8" x14ac:dyDescent="0.3">
      <c r="A72" s="24">
        <f t="shared" si="45"/>
        <v>41</v>
      </c>
      <c r="B72" s="24">
        <f t="shared" si="25"/>
        <v>1</v>
      </c>
      <c r="C72" s="8">
        <f t="shared" si="27"/>
        <v>46218</v>
      </c>
      <c r="D72" s="25">
        <f t="shared" si="28"/>
        <v>50</v>
      </c>
      <c r="E72" s="25">
        <f t="shared" si="29"/>
        <v>41</v>
      </c>
      <c r="F72" s="26">
        <f t="shared" si="30"/>
        <v>360</v>
      </c>
      <c r="G72" s="189">
        <f t="shared" si="31"/>
        <v>13.5</v>
      </c>
      <c r="H72" s="25">
        <f t="shared" si="32"/>
        <v>61</v>
      </c>
      <c r="I72" s="22">
        <f t="shared" si="33"/>
        <v>3640.21</v>
      </c>
      <c r="J72" s="21">
        <f t="shared" si="34"/>
        <v>914.17446428571407</v>
      </c>
      <c r="K72" s="21">
        <f t="shared" si="35"/>
        <v>78.95</v>
      </c>
      <c r="L72" s="191">
        <f t="shared" si="36"/>
        <v>3.96454</v>
      </c>
      <c r="M72" s="191">
        <f t="shared" si="37"/>
        <v>82.914540000000002</v>
      </c>
      <c r="N72" s="21">
        <f t="shared" si="38"/>
        <v>997.08900428571417</v>
      </c>
      <c r="O72" s="21">
        <f t="shared" si="39"/>
        <v>3.03</v>
      </c>
      <c r="P72" s="21">
        <f t="shared" si="40"/>
        <v>9.9</v>
      </c>
      <c r="Q72" s="195">
        <f t="shared" si="41"/>
        <v>1010.0190042857141</v>
      </c>
      <c r="R72" s="22">
        <f t="shared" si="42"/>
        <v>2726.04</v>
      </c>
      <c r="S72" s="22">
        <f t="shared" si="43"/>
        <v>0</v>
      </c>
      <c r="T72" s="193">
        <f t="shared" si="44"/>
        <v>4.95</v>
      </c>
      <c r="V72" s="25">
        <f t="shared" si="20"/>
        <v>1522</v>
      </c>
      <c r="W72" s="194">
        <f t="shared" si="13"/>
        <v>0.58544987654630509</v>
      </c>
      <c r="X72" s="21">
        <f t="shared" ca="1" si="21"/>
        <v>331.18354465053784</v>
      </c>
      <c r="Y72" s="21">
        <f t="shared" ca="1" si="22"/>
        <v>-7.178851626024283</v>
      </c>
      <c r="Z72" s="26">
        <f t="shared" ca="1" si="23"/>
        <v>7.1830598630214109</v>
      </c>
      <c r="AA72" s="21">
        <f t="shared" ca="1" si="14"/>
        <v>4.2082369971279095E-3</v>
      </c>
      <c r="AB72" s="21">
        <f t="shared" ca="1" si="24"/>
        <v>338.36239627656209</v>
      </c>
    </row>
    <row r="73" spans="1:28" ht="13.8" x14ac:dyDescent="0.3">
      <c r="A73" s="24">
        <f t="shared" si="45"/>
        <v>42</v>
      </c>
      <c r="B73" s="24">
        <f t="shared" si="25"/>
        <v>1</v>
      </c>
      <c r="C73" s="8">
        <f t="shared" si="27"/>
        <v>46249</v>
      </c>
      <c r="D73" s="25">
        <f t="shared" si="28"/>
        <v>51</v>
      </c>
      <c r="E73" s="25">
        <f t="shared" si="29"/>
        <v>42</v>
      </c>
      <c r="F73" s="26">
        <f t="shared" si="30"/>
        <v>360</v>
      </c>
      <c r="G73" s="189">
        <f t="shared" si="31"/>
        <v>13.5</v>
      </c>
      <c r="H73" s="25">
        <f t="shared" si="32"/>
        <v>31</v>
      </c>
      <c r="I73" s="22">
        <f t="shared" si="33"/>
        <v>2726.04</v>
      </c>
      <c r="J73" s="21">
        <f t="shared" si="34"/>
        <v>968.18446428571417</v>
      </c>
      <c r="K73" s="21">
        <f t="shared" si="35"/>
        <v>29.89</v>
      </c>
      <c r="L73" s="191">
        <f t="shared" si="36"/>
        <v>3.96454</v>
      </c>
      <c r="M73" s="191">
        <f t="shared" si="37"/>
        <v>33.85454</v>
      </c>
      <c r="N73" s="21">
        <f t="shared" si="38"/>
        <v>1002.0390042857142</v>
      </c>
      <c r="O73" s="21">
        <f t="shared" si="39"/>
        <v>3.03</v>
      </c>
      <c r="P73" s="21">
        <f t="shared" si="40"/>
        <v>4.95</v>
      </c>
      <c r="Q73" s="195">
        <f t="shared" si="41"/>
        <v>1010.0190042857142</v>
      </c>
      <c r="R73" s="22">
        <f t="shared" si="42"/>
        <v>1757.86</v>
      </c>
      <c r="S73" s="22">
        <f t="shared" si="43"/>
        <v>0</v>
      </c>
      <c r="T73" s="193">
        <f t="shared" si="44"/>
        <v>0</v>
      </c>
      <c r="V73" s="25">
        <f t="shared" si="20"/>
        <v>1553</v>
      </c>
      <c r="W73" s="194">
        <f t="shared" si="13"/>
        <v>0.57910053214588997</v>
      </c>
      <c r="X73" s="21">
        <f t="shared" ca="1" si="21"/>
        <v>338.36239627656209</v>
      </c>
      <c r="Y73" s="21">
        <f t="shared" ca="1" si="22"/>
        <v>-3.7056474216545516</v>
      </c>
      <c r="Z73" s="26">
        <f t="shared" ca="1" si="23"/>
        <v>3.7098556586516795</v>
      </c>
      <c r="AA73" s="21">
        <f t="shared" ca="1" si="14"/>
        <v>4.2082369971279095E-3</v>
      </c>
      <c r="AB73" s="21">
        <f t="shared" ca="1" si="24"/>
        <v>342.06804369821663</v>
      </c>
    </row>
    <row r="74" spans="1:28" ht="13.8" x14ac:dyDescent="0.3">
      <c r="A74" s="24">
        <f t="shared" si="45"/>
        <v>43</v>
      </c>
      <c r="B74" s="24">
        <f t="shared" si="25"/>
        <v>1</v>
      </c>
      <c r="C74" s="8">
        <f t="shared" si="27"/>
        <v>46280</v>
      </c>
      <c r="D74" s="25">
        <f t="shared" si="28"/>
        <v>52</v>
      </c>
      <c r="E74" s="25">
        <f t="shared" si="29"/>
        <v>43</v>
      </c>
      <c r="F74" s="26">
        <f t="shared" si="30"/>
        <v>360</v>
      </c>
      <c r="G74" s="189">
        <f t="shared" si="31"/>
        <v>13.5</v>
      </c>
      <c r="H74" s="25">
        <f t="shared" si="32"/>
        <v>31</v>
      </c>
      <c r="I74" s="22">
        <f t="shared" si="33"/>
        <v>1757.86</v>
      </c>
      <c r="J74" s="21">
        <f t="shared" si="34"/>
        <v>978.80446428571418</v>
      </c>
      <c r="K74" s="21">
        <f t="shared" si="35"/>
        <v>19.27</v>
      </c>
      <c r="L74" s="191">
        <f t="shared" si="36"/>
        <v>3.96454</v>
      </c>
      <c r="M74" s="191">
        <f t="shared" si="37"/>
        <v>23.234539999999999</v>
      </c>
      <c r="N74" s="21">
        <f t="shared" si="38"/>
        <v>1002.0390042857142</v>
      </c>
      <c r="O74" s="21">
        <f t="shared" si="39"/>
        <v>3.03</v>
      </c>
      <c r="P74" s="21">
        <f t="shared" si="40"/>
        <v>4.95</v>
      </c>
      <c r="Q74" s="195">
        <f t="shared" si="41"/>
        <v>1010.0190042857142</v>
      </c>
      <c r="R74" s="22">
        <f t="shared" si="42"/>
        <v>779.06</v>
      </c>
      <c r="S74" s="22">
        <f t="shared" si="43"/>
        <v>0</v>
      </c>
      <c r="T74" s="193">
        <f t="shared" si="44"/>
        <v>0</v>
      </c>
      <c r="V74" s="25">
        <f t="shared" si="20"/>
        <v>1584</v>
      </c>
      <c r="W74" s="194">
        <f t="shared" si="13"/>
        <v>0.57282004790913721</v>
      </c>
      <c r="X74" s="21">
        <f t="shared" ca="1" si="21"/>
        <v>342.06804369821663</v>
      </c>
      <c r="Y74" s="21">
        <f t="shared" ca="1" si="22"/>
        <v>-3.7462766913590859</v>
      </c>
      <c r="Z74" s="26">
        <f t="shared" ca="1" si="23"/>
        <v>3.7504849283562138</v>
      </c>
      <c r="AA74" s="21">
        <f t="shared" ca="1" si="14"/>
        <v>4.2082369971279095E-3</v>
      </c>
      <c r="AB74" s="21">
        <f t="shared" ca="1" si="24"/>
        <v>345.8143203895757</v>
      </c>
    </row>
    <row r="75" spans="1:28" ht="13.8" x14ac:dyDescent="0.3">
      <c r="A75" s="24">
        <f t="shared" si="45"/>
        <v>44</v>
      </c>
      <c r="B75" s="24">
        <f t="shared" si="25"/>
        <v>1</v>
      </c>
      <c r="C75" s="8">
        <f t="shared" si="27"/>
        <v>46310</v>
      </c>
      <c r="D75" s="25">
        <f t="shared" si="28"/>
        <v>53</v>
      </c>
      <c r="E75" s="25">
        <f t="shared" si="29"/>
        <v>44</v>
      </c>
      <c r="F75" s="26">
        <f t="shared" si="30"/>
        <v>360</v>
      </c>
      <c r="G75" s="189">
        <f t="shared" si="31"/>
        <v>13.5</v>
      </c>
      <c r="H75" s="25">
        <f t="shared" si="32"/>
        <v>30</v>
      </c>
      <c r="I75" s="22">
        <f t="shared" si="33"/>
        <v>779.06</v>
      </c>
      <c r="J75" s="21">
        <f t="shared" si="34"/>
        <v>989.81446428571417</v>
      </c>
      <c r="K75" s="21">
        <f t="shared" si="35"/>
        <v>8.26</v>
      </c>
      <c r="L75" s="191">
        <f t="shared" si="36"/>
        <v>3.96454</v>
      </c>
      <c r="M75" s="191">
        <f t="shared" si="37"/>
        <v>12.224539999999999</v>
      </c>
      <c r="N75" s="21">
        <f t="shared" si="38"/>
        <v>1002.0390042857142</v>
      </c>
      <c r="O75" s="21">
        <f t="shared" si="39"/>
        <v>3.03</v>
      </c>
      <c r="P75" s="21">
        <f t="shared" si="40"/>
        <v>4.95</v>
      </c>
      <c r="Q75" s="195">
        <f t="shared" si="41"/>
        <v>1010.0190042857142</v>
      </c>
      <c r="R75" s="22">
        <f t="shared" si="42"/>
        <v>-210.75</v>
      </c>
      <c r="S75" s="22">
        <f t="shared" si="43"/>
        <v>0</v>
      </c>
      <c r="T75" s="193">
        <f t="shared" si="44"/>
        <v>0</v>
      </c>
      <c r="V75" s="25">
        <f t="shared" si="20"/>
        <v>1614</v>
      </c>
      <c r="W75" s="194">
        <f t="shared" si="13"/>
        <v>0.56680702051198772</v>
      </c>
      <c r="X75" s="21">
        <f t="shared" ca="1" si="21"/>
        <v>345.8143203895757</v>
      </c>
      <c r="Y75" s="21">
        <f t="shared" ca="1" si="22"/>
        <v>-3.6643966101180117</v>
      </c>
      <c r="Z75" s="26">
        <f t="shared" ca="1" si="23"/>
        <v>3.6686048471151396</v>
      </c>
      <c r="AA75" s="21">
        <f t="shared" ca="1" si="14"/>
        <v>4.2082369971279095E-3</v>
      </c>
      <c r="AB75" s="21">
        <f t="shared" ca="1" si="24"/>
        <v>349.47871699969369</v>
      </c>
    </row>
    <row r="76" spans="1:28" ht="13.8" x14ac:dyDescent="0.3">
      <c r="A76" s="24">
        <f t="shared" si="45"/>
        <v>45</v>
      </c>
      <c r="B76" s="24">
        <f t="shared" si="25"/>
        <v>1</v>
      </c>
      <c r="C76" s="8">
        <f t="shared" si="27"/>
        <v>46341</v>
      </c>
      <c r="D76" s="25">
        <f t="shared" si="28"/>
        <v>54</v>
      </c>
      <c r="E76" s="25">
        <f t="shared" si="29"/>
        <v>45</v>
      </c>
      <c r="F76" s="26">
        <f t="shared" si="30"/>
        <v>360</v>
      </c>
      <c r="G76" s="189">
        <f t="shared" si="31"/>
        <v>13.5</v>
      </c>
      <c r="H76" s="25">
        <f t="shared" si="32"/>
        <v>31</v>
      </c>
      <c r="I76" s="22">
        <f t="shared" si="33"/>
        <v>-210.75</v>
      </c>
      <c r="J76" s="21">
        <f t="shared" si="34"/>
        <v>1000.3844642857141</v>
      </c>
      <c r="K76" s="21">
        <f t="shared" si="35"/>
        <v>-2.31</v>
      </c>
      <c r="L76" s="191">
        <f t="shared" si="36"/>
        <v>3.96454</v>
      </c>
      <c r="M76" s="191">
        <f t="shared" si="37"/>
        <v>1.6545399999999999</v>
      </c>
      <c r="N76" s="21">
        <f t="shared" si="38"/>
        <v>1002.0390042857142</v>
      </c>
      <c r="O76" s="21">
        <f t="shared" si="39"/>
        <v>3.03</v>
      </c>
      <c r="P76" s="21">
        <f t="shared" si="40"/>
        <v>4.95</v>
      </c>
      <c r="Q76" s="195">
        <f t="shared" si="41"/>
        <v>1010.0190042857142</v>
      </c>
      <c r="R76" s="22">
        <f t="shared" si="42"/>
        <v>-1211.1300000000001</v>
      </c>
      <c r="S76" s="22">
        <f t="shared" si="43"/>
        <v>0</v>
      </c>
      <c r="T76" s="193">
        <f t="shared" si="44"/>
        <v>0</v>
      </c>
      <c r="V76" s="25">
        <f t="shared" si="20"/>
        <v>1645</v>
      </c>
      <c r="W76" s="194">
        <f t="shared" si="13"/>
        <v>0.56065986235895471</v>
      </c>
      <c r="X76" s="21">
        <f t="shared" ca="1" si="21"/>
        <v>349.47871699969369</v>
      </c>
      <c r="Y76" s="21">
        <f t="shared" ca="1" si="22"/>
        <v>-3.8275284160910283</v>
      </c>
      <c r="Z76" s="26">
        <f t="shared" ca="1" si="23"/>
        <v>3.8317366530881563</v>
      </c>
      <c r="AA76" s="21">
        <f t="shared" ca="1" si="14"/>
        <v>4.2082369971279095E-3</v>
      </c>
      <c r="AB76" s="21">
        <f t="shared" ca="1" si="24"/>
        <v>353.3062454157847</v>
      </c>
    </row>
    <row r="77" spans="1:28" ht="13.8" x14ac:dyDescent="0.3">
      <c r="A77" s="24">
        <f t="shared" si="45"/>
        <v>46</v>
      </c>
      <c r="B77" s="24">
        <f t="shared" si="25"/>
        <v>1</v>
      </c>
      <c r="C77" s="8">
        <f t="shared" si="27"/>
        <v>46371</v>
      </c>
      <c r="D77" s="25">
        <f t="shared" si="28"/>
        <v>55</v>
      </c>
      <c r="E77" s="25">
        <f t="shared" si="29"/>
        <v>46</v>
      </c>
      <c r="F77" s="26">
        <f t="shared" si="30"/>
        <v>360</v>
      </c>
      <c r="G77" s="189">
        <f t="shared" si="31"/>
        <v>13.5</v>
      </c>
      <c r="H77" s="25">
        <f t="shared" si="32"/>
        <v>30</v>
      </c>
      <c r="I77" s="22">
        <f t="shared" si="33"/>
        <v>-1211.1300000000001</v>
      </c>
      <c r="J77" s="21">
        <f t="shared" si="34"/>
        <v>1010.9244642857142</v>
      </c>
      <c r="K77" s="21">
        <f t="shared" si="35"/>
        <v>-12.85</v>
      </c>
      <c r="L77" s="191">
        <f t="shared" si="36"/>
        <v>3.96454</v>
      </c>
      <c r="M77" s="191">
        <f t="shared" si="37"/>
        <v>-8.8854600000000001</v>
      </c>
      <c r="N77" s="21">
        <f t="shared" si="38"/>
        <v>1002.0390042857142</v>
      </c>
      <c r="O77" s="21">
        <f t="shared" si="39"/>
        <v>3.03</v>
      </c>
      <c r="P77" s="21">
        <f t="shared" si="40"/>
        <v>4.95</v>
      </c>
      <c r="Q77" s="195">
        <f t="shared" si="41"/>
        <v>1010.0190042857142</v>
      </c>
      <c r="R77" s="22">
        <f t="shared" si="42"/>
        <v>-2222.0500000000002</v>
      </c>
      <c r="S77" s="22">
        <f t="shared" si="43"/>
        <v>0</v>
      </c>
      <c r="T77" s="193">
        <f t="shared" si="44"/>
        <v>0</v>
      </c>
      <c r="V77" s="25">
        <f t="shared" si="20"/>
        <v>1675</v>
      </c>
      <c r="W77" s="194">
        <f t="shared" si="13"/>
        <v>0.55477448330291079</v>
      </c>
      <c r="X77" s="21">
        <f t="shared" ca="1" si="21"/>
        <v>353.3062454157847</v>
      </c>
      <c r="Y77" s="21">
        <f t="shared" ca="1" si="22"/>
        <v>-3.7438754253226874</v>
      </c>
      <c r="Z77" s="26">
        <f t="shared" ca="1" si="23"/>
        <v>3.7480836623198153</v>
      </c>
      <c r="AA77" s="21">
        <f t="shared" ca="1" si="14"/>
        <v>4.2082369971279095E-3</v>
      </c>
      <c r="AB77" s="21">
        <f t="shared" ca="1" si="24"/>
        <v>357.0501208411074</v>
      </c>
    </row>
    <row r="78" spans="1:28" ht="13.8" x14ac:dyDescent="0.3">
      <c r="A78" s="24">
        <f t="shared" si="45"/>
        <v>47</v>
      </c>
      <c r="B78" s="24">
        <f t="shared" si="25"/>
        <v>1</v>
      </c>
      <c r="C78" s="8">
        <f t="shared" si="27"/>
        <v>46433</v>
      </c>
      <c r="D78" s="25">
        <f t="shared" si="28"/>
        <v>57</v>
      </c>
      <c r="E78" s="25">
        <f t="shared" si="29"/>
        <v>47</v>
      </c>
      <c r="F78" s="26">
        <f t="shared" si="30"/>
        <v>360</v>
      </c>
      <c r="G78" s="189">
        <f t="shared" si="31"/>
        <v>13.5</v>
      </c>
      <c r="H78" s="25">
        <f t="shared" si="32"/>
        <v>62</v>
      </c>
      <c r="I78" s="22">
        <f t="shared" si="33"/>
        <v>-2222.0500000000002</v>
      </c>
      <c r="J78" s="21">
        <f t="shared" si="34"/>
        <v>1042.1144642857141</v>
      </c>
      <c r="K78" s="21">
        <f t="shared" si="35"/>
        <v>-48.99</v>
      </c>
      <c r="L78" s="191">
        <f t="shared" si="36"/>
        <v>3.96454</v>
      </c>
      <c r="M78" s="191">
        <f t="shared" si="37"/>
        <v>-45.025460000000002</v>
      </c>
      <c r="N78" s="21">
        <f t="shared" si="38"/>
        <v>997.08900428571417</v>
      </c>
      <c r="O78" s="21">
        <f t="shared" si="39"/>
        <v>3.03</v>
      </c>
      <c r="P78" s="21">
        <f t="shared" si="40"/>
        <v>9.9</v>
      </c>
      <c r="Q78" s="195">
        <f t="shared" si="41"/>
        <v>1010.0190042857141</v>
      </c>
      <c r="R78" s="22">
        <f t="shared" si="42"/>
        <v>-3264.16</v>
      </c>
      <c r="S78" s="22">
        <f t="shared" si="43"/>
        <v>0</v>
      </c>
      <c r="T78" s="193">
        <f t="shared" si="44"/>
        <v>4.95</v>
      </c>
      <c r="V78" s="25">
        <f t="shared" si="20"/>
        <v>1737</v>
      </c>
      <c r="W78" s="194">
        <f t="shared" si="13"/>
        <v>0.5428064106512891</v>
      </c>
      <c r="X78" s="21">
        <f t="shared" ca="1" si="21"/>
        <v>357.0501208411074</v>
      </c>
      <c r="Y78" s="21">
        <f t="shared" ca="1" si="22"/>
        <v>-7.8682149743821288</v>
      </c>
      <c r="Z78" s="26">
        <f t="shared" ca="1" si="23"/>
        <v>7.8724232113792567</v>
      </c>
      <c r="AA78" s="21">
        <f t="shared" ca="1" si="14"/>
        <v>4.2082369971279095E-3</v>
      </c>
      <c r="AB78" s="21">
        <f t="shared" ca="1" si="24"/>
        <v>364.91833581548951</v>
      </c>
    </row>
    <row r="79" spans="1:28" ht="13.8" x14ac:dyDescent="0.3">
      <c r="A79" s="24">
        <f t="shared" si="45"/>
        <v>48</v>
      </c>
      <c r="B79" s="24">
        <f t="shared" si="25"/>
        <v>1</v>
      </c>
      <c r="C79" s="8">
        <f t="shared" si="27"/>
        <v>46461</v>
      </c>
      <c r="D79" s="25">
        <f t="shared" si="28"/>
        <v>58</v>
      </c>
      <c r="E79" s="25">
        <f t="shared" si="29"/>
        <v>48</v>
      </c>
      <c r="F79" s="26">
        <f t="shared" si="30"/>
        <v>360</v>
      </c>
      <c r="G79" s="189">
        <f t="shared" si="31"/>
        <v>13.5</v>
      </c>
      <c r="H79" s="25">
        <f t="shared" si="32"/>
        <v>28</v>
      </c>
      <c r="I79" s="22">
        <f t="shared" si="33"/>
        <v>-3264.16</v>
      </c>
      <c r="J79" s="21">
        <f t="shared" si="34"/>
        <v>1030.3844642857141</v>
      </c>
      <c r="K79" s="21">
        <f t="shared" si="35"/>
        <v>-32.31</v>
      </c>
      <c r="L79" s="191">
        <f t="shared" si="36"/>
        <v>3.96454</v>
      </c>
      <c r="M79" s="191">
        <f t="shared" si="37"/>
        <v>-28.345460000000003</v>
      </c>
      <c r="N79" s="21">
        <f t="shared" si="38"/>
        <v>1002.0390042857142</v>
      </c>
      <c r="O79" s="21">
        <f t="shared" si="39"/>
        <v>3.03</v>
      </c>
      <c r="P79" s="21">
        <f t="shared" si="40"/>
        <v>4.95</v>
      </c>
      <c r="Q79" s="195">
        <f t="shared" si="41"/>
        <v>1010.0190042857142</v>
      </c>
      <c r="R79" s="22">
        <f t="shared" si="42"/>
        <v>-4294.54</v>
      </c>
      <c r="S79" s="22">
        <f t="shared" si="43"/>
        <v>0</v>
      </c>
      <c r="T79" s="193">
        <f t="shared" si="44"/>
        <v>0</v>
      </c>
      <c r="V79" s="25">
        <f t="shared" si="20"/>
        <v>1765</v>
      </c>
      <c r="W79" s="205">
        <f t="shared" si="13"/>
        <v>0.53748644014422242</v>
      </c>
      <c r="X79" s="21">
        <f t="shared" ca="1" si="21"/>
        <v>364.91833581548951</v>
      </c>
      <c r="Y79" s="21">
        <f t="shared" ca="1" si="22"/>
        <v>-3.6077057370658241</v>
      </c>
      <c r="Z79" s="26">
        <f t="shared" ca="1" si="23"/>
        <v>3.611913974062952</v>
      </c>
      <c r="AA79" s="21">
        <f t="shared" ca="1" si="14"/>
        <v>4.2082369971279095E-3</v>
      </c>
      <c r="AB79" s="21">
        <f t="shared" ca="1" si="24"/>
        <v>368.52604155255534</v>
      </c>
    </row>
    <row r="80" spans="1:28" ht="13.8" x14ac:dyDescent="0.3">
      <c r="A80" s="24">
        <f t="shared" si="45"/>
        <v>49</v>
      </c>
      <c r="B80" s="24">
        <f t="shared" si="25"/>
        <v>1</v>
      </c>
      <c r="C80" s="8">
        <f t="shared" si="27"/>
        <v>46492</v>
      </c>
      <c r="D80" s="25">
        <f t="shared" si="28"/>
        <v>59</v>
      </c>
      <c r="E80" s="25">
        <f t="shared" si="29"/>
        <v>49</v>
      </c>
      <c r="F80" s="26">
        <f t="shared" si="30"/>
        <v>360</v>
      </c>
      <c r="G80" s="189">
        <f t="shared" si="31"/>
        <v>13.5</v>
      </c>
      <c r="H80" s="25">
        <f t="shared" si="32"/>
        <v>31</v>
      </c>
      <c r="I80" s="22">
        <f t="shared" si="33"/>
        <v>-4294.54</v>
      </c>
      <c r="J80" s="21">
        <f t="shared" si="34"/>
        <v>1045.1644642857141</v>
      </c>
      <c r="K80" s="21">
        <f t="shared" si="35"/>
        <v>-47.09</v>
      </c>
      <c r="L80" s="191">
        <f t="shared" si="36"/>
        <v>3.96454</v>
      </c>
      <c r="M80" s="191">
        <f t="shared" si="37"/>
        <v>-43.125460000000004</v>
      </c>
      <c r="N80" s="21">
        <f t="shared" si="38"/>
        <v>1002.0390042857141</v>
      </c>
      <c r="O80" s="21">
        <f t="shared" si="39"/>
        <v>3.03</v>
      </c>
      <c r="P80" s="21">
        <f t="shared" si="40"/>
        <v>4.95</v>
      </c>
      <c r="Q80" s="195">
        <f t="shared" si="41"/>
        <v>1010.0190042857141</v>
      </c>
      <c r="R80" s="22">
        <f t="shared" si="42"/>
        <v>-5339.7</v>
      </c>
      <c r="S80" s="22">
        <f t="shared" si="43"/>
        <v>0</v>
      </c>
      <c r="T80" s="193">
        <f t="shared" si="44"/>
        <v>0</v>
      </c>
      <c r="V80" s="25">
        <f t="shared" si="20"/>
        <v>1796</v>
      </c>
      <c r="W80" s="194">
        <f t="shared" si="13"/>
        <v>0.53165727072128066</v>
      </c>
      <c r="X80" s="21">
        <f t="shared" ca="1" si="21"/>
        <v>368.52604155255534</v>
      </c>
      <c r="Y80" s="21">
        <f t="shared" ca="1" si="22"/>
        <v>-4.0363661165926299</v>
      </c>
      <c r="Z80" s="26">
        <f t="shared" ca="1" si="23"/>
        <v>4.0405743535897578</v>
      </c>
      <c r="AA80" s="21">
        <f t="shared" ca="1" si="14"/>
        <v>4.2082369971279095E-3</v>
      </c>
      <c r="AB80" s="21">
        <f t="shared" ca="1" si="24"/>
        <v>372.56240766914794</v>
      </c>
    </row>
    <row r="81" spans="1:28" ht="13.8" x14ac:dyDescent="0.3">
      <c r="A81" s="24">
        <f t="shared" si="45"/>
        <v>50</v>
      </c>
      <c r="B81" s="24">
        <f t="shared" si="25"/>
        <v>1</v>
      </c>
      <c r="C81" s="8">
        <f t="shared" si="27"/>
        <v>46522</v>
      </c>
      <c r="D81" s="25">
        <f t="shared" si="28"/>
        <v>60</v>
      </c>
      <c r="E81" s="25">
        <f t="shared" si="29"/>
        <v>50</v>
      </c>
      <c r="F81" s="26">
        <f t="shared" si="30"/>
        <v>360</v>
      </c>
      <c r="G81" s="189">
        <f t="shared" si="31"/>
        <v>13.5</v>
      </c>
      <c r="H81" s="25">
        <f t="shared" si="32"/>
        <v>30</v>
      </c>
      <c r="I81" s="22">
        <f t="shared" si="33"/>
        <v>-5339.7</v>
      </c>
      <c r="J81" s="21">
        <f t="shared" si="34"/>
        <v>1054.7244642857142</v>
      </c>
      <c r="K81" s="21">
        <f t="shared" si="35"/>
        <v>-56.65</v>
      </c>
      <c r="L81" s="191">
        <f t="shared" si="36"/>
        <v>3.96454</v>
      </c>
      <c r="M81" s="191">
        <f t="shared" si="37"/>
        <v>-52.685459999999999</v>
      </c>
      <c r="N81" s="21">
        <f t="shared" si="38"/>
        <v>1002.0390042857143</v>
      </c>
      <c r="O81" s="21">
        <f t="shared" si="39"/>
        <v>3.03</v>
      </c>
      <c r="P81" s="21">
        <f t="shared" si="40"/>
        <v>4.95</v>
      </c>
      <c r="Q81" s="195">
        <f t="shared" si="41"/>
        <v>1010.0190042857143</v>
      </c>
      <c r="R81" s="22">
        <f t="shared" si="42"/>
        <v>-6394.42</v>
      </c>
      <c r="S81" s="22">
        <f t="shared" si="43"/>
        <v>0</v>
      </c>
      <c r="T81" s="193">
        <f t="shared" si="44"/>
        <v>0</v>
      </c>
      <c r="V81" s="25">
        <f t="shared" si="20"/>
        <v>1826</v>
      </c>
      <c r="W81" s="194">
        <f t="shared" si="13"/>
        <v>0.52607633872281134</v>
      </c>
      <c r="X81" s="21">
        <f t="shared" ca="1" si="21"/>
        <v>372.56240766914794</v>
      </c>
      <c r="Y81" s="21">
        <f t="shared" ca="1" si="22"/>
        <v>-3.9481562951835452</v>
      </c>
      <c r="Z81" s="26">
        <f t="shared" ca="1" si="23"/>
        <v>3.9523645321806731</v>
      </c>
      <c r="AA81" s="21">
        <f t="shared" ca="1" si="14"/>
        <v>4.2082369971279095E-3</v>
      </c>
      <c r="AB81" s="21">
        <f t="shared" ca="1" si="24"/>
        <v>376.51056396433148</v>
      </c>
    </row>
    <row r="82" spans="1:28" ht="13.8" x14ac:dyDescent="0.3">
      <c r="A82" s="24" t="str">
        <f t="shared" si="45"/>
        <v/>
      </c>
      <c r="B82" s="24" t="str">
        <f t="shared" si="25"/>
        <v/>
      </c>
      <c r="C82" s="8" t="str">
        <f t="shared" si="27"/>
        <v/>
      </c>
      <c r="D82" s="25" t="str">
        <f t="shared" si="28"/>
        <v/>
      </c>
      <c r="E82" s="25" t="str">
        <f t="shared" si="29"/>
        <v/>
      </c>
      <c r="F82" s="26" t="str">
        <f t="shared" si="30"/>
        <v/>
      </c>
      <c r="G82" s="189" t="str">
        <f t="shared" si="31"/>
        <v/>
      </c>
      <c r="H82" s="25" t="str">
        <f t="shared" si="32"/>
        <v/>
      </c>
      <c r="I82" s="22" t="str">
        <f t="shared" si="33"/>
        <v/>
      </c>
      <c r="J82" s="21" t="str">
        <f t="shared" si="34"/>
        <v/>
      </c>
      <c r="K82" s="21" t="str">
        <f t="shared" si="35"/>
        <v/>
      </c>
      <c r="L82" s="191" t="str">
        <f t="shared" si="36"/>
        <v/>
      </c>
      <c r="M82" s="191" t="str">
        <f t="shared" si="37"/>
        <v/>
      </c>
      <c r="N82" s="21" t="str">
        <f t="shared" si="38"/>
        <v/>
      </c>
      <c r="O82" s="21" t="str">
        <f t="shared" si="39"/>
        <v/>
      </c>
      <c r="P82" s="21" t="str">
        <f t="shared" si="40"/>
        <v/>
      </c>
      <c r="Q82" s="195" t="str">
        <f t="shared" si="41"/>
        <v/>
      </c>
      <c r="R82" s="22" t="str">
        <f t="shared" si="42"/>
        <v/>
      </c>
      <c r="S82" s="22" t="str">
        <f t="shared" si="43"/>
        <v/>
      </c>
      <c r="T82" s="193" t="str">
        <f t="shared" si="44"/>
        <v/>
      </c>
      <c r="V82" s="25" t="e">
        <f t="shared" si="20"/>
        <v>#VALUE!</v>
      </c>
      <c r="W82" s="194" t="e">
        <f t="shared" si="13"/>
        <v>#VALUE!</v>
      </c>
      <c r="X82" s="21">
        <f t="shared" ca="1" si="21"/>
        <v>376.51056396433148</v>
      </c>
      <c r="Y82" s="21" t="e">
        <f t="shared" ca="1" si="22"/>
        <v>#VALUE!</v>
      </c>
      <c r="Z82" s="26" t="e">
        <f t="shared" ca="1" si="23"/>
        <v>#VALUE!</v>
      </c>
      <c r="AA82" s="21">
        <f t="shared" ca="1" si="14"/>
        <v>4.2082369971279095E-3</v>
      </c>
      <c r="AB82" s="21" t="e">
        <f t="shared" ca="1" si="24"/>
        <v>#VALUE!</v>
      </c>
    </row>
    <row r="83" spans="1:28" ht="13.8" x14ac:dyDescent="0.3">
      <c r="A83" s="24" t="str">
        <f t="shared" si="45"/>
        <v/>
      </c>
      <c r="B83" s="24" t="str">
        <f t="shared" si="25"/>
        <v/>
      </c>
      <c r="C83" s="8" t="str">
        <f t="shared" si="27"/>
        <v/>
      </c>
      <c r="D83" s="25" t="str">
        <f t="shared" si="28"/>
        <v/>
      </c>
      <c r="E83" s="25" t="str">
        <f t="shared" si="29"/>
        <v/>
      </c>
      <c r="F83" s="26" t="str">
        <f t="shared" si="30"/>
        <v/>
      </c>
      <c r="G83" s="189" t="str">
        <f t="shared" si="31"/>
        <v/>
      </c>
      <c r="H83" s="25" t="str">
        <f t="shared" si="32"/>
        <v/>
      </c>
      <c r="I83" s="22" t="str">
        <f t="shared" si="33"/>
        <v/>
      </c>
      <c r="J83" s="21" t="str">
        <f t="shared" si="34"/>
        <v/>
      </c>
      <c r="K83" s="21" t="str">
        <f t="shared" si="35"/>
        <v/>
      </c>
      <c r="L83" s="191" t="str">
        <f t="shared" si="36"/>
        <v/>
      </c>
      <c r="M83" s="191" t="str">
        <f t="shared" si="37"/>
        <v/>
      </c>
      <c r="N83" s="21" t="str">
        <f t="shared" si="38"/>
        <v/>
      </c>
      <c r="O83" s="21" t="str">
        <f t="shared" si="39"/>
        <v/>
      </c>
      <c r="P83" s="21" t="str">
        <f t="shared" si="40"/>
        <v/>
      </c>
      <c r="Q83" s="195" t="str">
        <f t="shared" si="41"/>
        <v/>
      </c>
      <c r="R83" s="22" t="str">
        <f t="shared" si="42"/>
        <v/>
      </c>
      <c r="S83" s="22" t="str">
        <f t="shared" si="43"/>
        <v/>
      </c>
      <c r="T83" s="193" t="str">
        <f t="shared" si="44"/>
        <v/>
      </c>
      <c r="V83" s="25" t="e">
        <f t="shared" si="20"/>
        <v>#VALUE!</v>
      </c>
      <c r="W83" s="194" t="e">
        <f t="shared" si="13"/>
        <v>#VALUE!</v>
      </c>
      <c r="X83" s="21" t="e">
        <f t="shared" ca="1" si="21"/>
        <v>#VALUE!</v>
      </c>
      <c r="Y83" s="21" t="e">
        <f t="shared" ca="1" si="22"/>
        <v>#VALUE!</v>
      </c>
      <c r="Z83" s="26" t="e">
        <f t="shared" ca="1" si="23"/>
        <v>#VALUE!</v>
      </c>
      <c r="AA83" s="21">
        <f t="shared" ca="1" si="14"/>
        <v>4.2082369971279095E-3</v>
      </c>
      <c r="AB83" s="21" t="e">
        <f t="shared" ca="1" si="24"/>
        <v>#VALUE!</v>
      </c>
    </row>
    <row r="84" spans="1:28" ht="13.8" x14ac:dyDescent="0.3">
      <c r="A84" s="24" t="str">
        <f t="shared" si="45"/>
        <v/>
      </c>
      <c r="B84" s="24" t="str">
        <f t="shared" si="25"/>
        <v/>
      </c>
      <c r="C84" s="8" t="str">
        <f t="shared" si="27"/>
        <v/>
      </c>
      <c r="D84" s="25" t="str">
        <f t="shared" si="28"/>
        <v/>
      </c>
      <c r="E84" s="25" t="str">
        <f t="shared" si="29"/>
        <v/>
      </c>
      <c r="F84" s="26" t="str">
        <f t="shared" si="30"/>
        <v/>
      </c>
      <c r="G84" s="189" t="str">
        <f t="shared" si="31"/>
        <v/>
      </c>
      <c r="H84" s="25" t="str">
        <f t="shared" si="32"/>
        <v/>
      </c>
      <c r="I84" s="22" t="str">
        <f t="shared" si="33"/>
        <v/>
      </c>
      <c r="J84" s="21" t="str">
        <f t="shared" si="34"/>
        <v/>
      </c>
      <c r="K84" s="21" t="str">
        <f t="shared" si="35"/>
        <v/>
      </c>
      <c r="L84" s="191" t="str">
        <f t="shared" si="36"/>
        <v/>
      </c>
      <c r="M84" s="191" t="str">
        <f t="shared" si="37"/>
        <v/>
      </c>
      <c r="N84" s="21" t="str">
        <f t="shared" si="38"/>
        <v/>
      </c>
      <c r="O84" s="21" t="str">
        <f t="shared" si="39"/>
        <v/>
      </c>
      <c r="P84" s="21" t="str">
        <f t="shared" si="40"/>
        <v/>
      </c>
      <c r="Q84" s="195" t="str">
        <f t="shared" si="41"/>
        <v/>
      </c>
      <c r="R84" s="22" t="str">
        <f t="shared" si="42"/>
        <v/>
      </c>
      <c r="S84" s="22" t="str">
        <f t="shared" si="43"/>
        <v/>
      </c>
      <c r="T84" s="193" t="str">
        <f t="shared" si="44"/>
        <v/>
      </c>
      <c r="V84" s="25" t="e">
        <f t="shared" si="20"/>
        <v>#VALUE!</v>
      </c>
      <c r="W84" s="194" t="e">
        <f t="shared" si="13"/>
        <v>#VALUE!</v>
      </c>
      <c r="X84" s="21" t="e">
        <f t="shared" ca="1" si="21"/>
        <v>#VALUE!</v>
      </c>
      <c r="Y84" s="21" t="e">
        <f t="shared" ca="1" si="22"/>
        <v>#VALUE!</v>
      </c>
      <c r="Z84" s="26" t="e">
        <f t="shared" ca="1" si="23"/>
        <v>#VALUE!</v>
      </c>
      <c r="AA84" s="21">
        <f t="shared" ca="1" si="14"/>
        <v>4.2082369971279095E-3</v>
      </c>
      <c r="AB84" s="21" t="e">
        <f t="shared" ca="1" si="24"/>
        <v>#VALUE!</v>
      </c>
    </row>
    <row r="85" spans="1:28" ht="13.8" x14ac:dyDescent="0.3">
      <c r="A85" s="24" t="str">
        <f t="shared" si="45"/>
        <v/>
      </c>
      <c r="B85" s="24" t="str">
        <f t="shared" si="25"/>
        <v/>
      </c>
      <c r="C85" s="8" t="str">
        <f t="shared" si="27"/>
        <v/>
      </c>
      <c r="D85" s="25" t="str">
        <f t="shared" si="28"/>
        <v/>
      </c>
      <c r="E85" s="25" t="str">
        <f t="shared" si="29"/>
        <v/>
      </c>
      <c r="F85" s="26" t="str">
        <f t="shared" si="30"/>
        <v/>
      </c>
      <c r="G85" s="189" t="str">
        <f t="shared" si="31"/>
        <v/>
      </c>
      <c r="H85" s="25" t="str">
        <f t="shared" si="32"/>
        <v/>
      </c>
      <c r="I85" s="22" t="str">
        <f t="shared" si="33"/>
        <v/>
      </c>
      <c r="J85" s="21" t="str">
        <f t="shared" si="34"/>
        <v/>
      </c>
      <c r="K85" s="21" t="str">
        <f t="shared" si="35"/>
        <v/>
      </c>
      <c r="L85" s="191" t="str">
        <f t="shared" si="36"/>
        <v/>
      </c>
      <c r="M85" s="191" t="str">
        <f t="shared" si="37"/>
        <v/>
      </c>
      <c r="N85" s="21" t="str">
        <f t="shared" si="38"/>
        <v/>
      </c>
      <c r="O85" s="21" t="str">
        <f t="shared" si="39"/>
        <v/>
      </c>
      <c r="P85" s="21" t="str">
        <f t="shared" si="40"/>
        <v/>
      </c>
      <c r="Q85" s="195" t="str">
        <f t="shared" si="41"/>
        <v/>
      </c>
      <c r="R85" s="22" t="str">
        <f t="shared" si="42"/>
        <v/>
      </c>
      <c r="S85" s="22" t="str">
        <f t="shared" si="43"/>
        <v/>
      </c>
      <c r="T85" s="193" t="str">
        <f t="shared" si="44"/>
        <v/>
      </c>
      <c r="V85" s="25" t="e">
        <f t="shared" si="20"/>
        <v>#VALUE!</v>
      </c>
      <c r="W85" s="194" t="e">
        <f t="shared" si="13"/>
        <v>#VALUE!</v>
      </c>
      <c r="X85" s="21" t="e">
        <f t="shared" ca="1" si="21"/>
        <v>#VALUE!</v>
      </c>
      <c r="Y85" s="21" t="e">
        <f t="shared" ca="1" si="22"/>
        <v>#VALUE!</v>
      </c>
      <c r="Z85" s="26" t="e">
        <f t="shared" ca="1" si="23"/>
        <v>#VALUE!</v>
      </c>
      <c r="AA85" s="21">
        <f t="shared" ca="1" si="14"/>
        <v>4.2082369971279095E-3</v>
      </c>
      <c r="AB85" s="21" t="e">
        <f t="shared" ca="1" si="24"/>
        <v>#VALUE!</v>
      </c>
    </row>
    <row r="86" spans="1:28" ht="13.8" x14ac:dyDescent="0.3">
      <c r="A86" s="24" t="str">
        <f t="shared" si="45"/>
        <v/>
      </c>
      <c r="B86" s="24" t="str">
        <f t="shared" si="25"/>
        <v/>
      </c>
      <c r="C86" s="8" t="str">
        <f t="shared" si="27"/>
        <v/>
      </c>
      <c r="D86" s="25" t="str">
        <f t="shared" si="28"/>
        <v/>
      </c>
      <c r="E86" s="25" t="str">
        <f t="shared" si="29"/>
        <v/>
      </c>
      <c r="F86" s="26" t="str">
        <f t="shared" si="30"/>
        <v/>
      </c>
      <c r="G86" s="189" t="str">
        <f t="shared" si="31"/>
        <v/>
      </c>
      <c r="H86" s="25" t="str">
        <f t="shared" si="32"/>
        <v/>
      </c>
      <c r="I86" s="22" t="str">
        <f t="shared" si="33"/>
        <v/>
      </c>
      <c r="J86" s="21" t="str">
        <f t="shared" si="34"/>
        <v/>
      </c>
      <c r="K86" s="21" t="str">
        <f t="shared" si="35"/>
        <v/>
      </c>
      <c r="L86" s="191" t="str">
        <f t="shared" si="36"/>
        <v/>
      </c>
      <c r="M86" s="191" t="str">
        <f t="shared" si="37"/>
        <v/>
      </c>
      <c r="N86" s="21" t="str">
        <f t="shared" si="38"/>
        <v/>
      </c>
      <c r="O86" s="21" t="str">
        <f t="shared" si="39"/>
        <v/>
      </c>
      <c r="P86" s="21" t="str">
        <f t="shared" si="40"/>
        <v/>
      </c>
      <c r="Q86" s="195" t="str">
        <f t="shared" si="41"/>
        <v/>
      </c>
      <c r="R86" s="22" t="str">
        <f t="shared" si="42"/>
        <v/>
      </c>
      <c r="S86" s="22" t="str">
        <f t="shared" si="43"/>
        <v/>
      </c>
      <c r="T86" s="193" t="str">
        <f t="shared" si="44"/>
        <v/>
      </c>
      <c r="V86" s="25" t="e">
        <f t="shared" si="20"/>
        <v>#VALUE!</v>
      </c>
      <c r="W86" s="194" t="e">
        <f t="shared" si="13"/>
        <v>#VALUE!</v>
      </c>
      <c r="X86" s="21" t="e">
        <f t="shared" ca="1" si="21"/>
        <v>#VALUE!</v>
      </c>
      <c r="Y86" s="21" t="e">
        <f t="shared" ca="1" si="22"/>
        <v>#VALUE!</v>
      </c>
      <c r="Z86" s="26" t="e">
        <f t="shared" ca="1" si="23"/>
        <v>#VALUE!</v>
      </c>
      <c r="AA86" s="21">
        <f t="shared" ca="1" si="14"/>
        <v>4.2082369971279095E-3</v>
      </c>
      <c r="AB86" s="21" t="e">
        <f t="shared" ca="1" si="24"/>
        <v>#VALUE!</v>
      </c>
    </row>
    <row r="87" spans="1:28" ht="13.8" x14ac:dyDescent="0.3">
      <c r="A87" s="24" t="str">
        <f t="shared" si="45"/>
        <v/>
      </c>
      <c r="B87" s="24" t="str">
        <f t="shared" si="25"/>
        <v/>
      </c>
      <c r="C87" s="8" t="str">
        <f t="shared" si="27"/>
        <v/>
      </c>
      <c r="D87" s="25" t="str">
        <f t="shared" si="28"/>
        <v/>
      </c>
      <c r="E87" s="25" t="str">
        <f t="shared" si="29"/>
        <v/>
      </c>
      <c r="F87" s="26" t="str">
        <f t="shared" si="30"/>
        <v/>
      </c>
      <c r="G87" s="189" t="str">
        <f t="shared" si="31"/>
        <v/>
      </c>
      <c r="H87" s="25" t="str">
        <f t="shared" si="32"/>
        <v/>
      </c>
      <c r="I87" s="22" t="str">
        <f t="shared" si="33"/>
        <v/>
      </c>
      <c r="J87" s="21" t="str">
        <f t="shared" si="34"/>
        <v/>
      </c>
      <c r="K87" s="21" t="str">
        <f t="shared" si="35"/>
        <v/>
      </c>
      <c r="L87" s="191" t="str">
        <f t="shared" si="36"/>
        <v/>
      </c>
      <c r="M87" s="191" t="str">
        <f t="shared" si="37"/>
        <v/>
      </c>
      <c r="N87" s="21" t="str">
        <f t="shared" si="38"/>
        <v/>
      </c>
      <c r="O87" s="21" t="str">
        <f t="shared" si="39"/>
        <v/>
      </c>
      <c r="P87" s="21" t="str">
        <f t="shared" si="40"/>
        <v/>
      </c>
      <c r="Q87" s="195" t="str">
        <f t="shared" si="41"/>
        <v/>
      </c>
      <c r="R87" s="22" t="str">
        <f t="shared" si="42"/>
        <v/>
      </c>
      <c r="S87" s="22" t="str">
        <f t="shared" si="43"/>
        <v/>
      </c>
      <c r="T87" s="193" t="str">
        <f t="shared" si="44"/>
        <v/>
      </c>
      <c r="V87" s="25" t="e">
        <f t="shared" si="20"/>
        <v>#VALUE!</v>
      </c>
      <c r="W87" s="194" t="e">
        <f t="shared" si="13"/>
        <v>#VALUE!</v>
      </c>
      <c r="X87" s="21" t="e">
        <f t="shared" ca="1" si="21"/>
        <v>#VALUE!</v>
      </c>
      <c r="Y87" s="21" t="e">
        <f t="shared" ca="1" si="22"/>
        <v>#VALUE!</v>
      </c>
      <c r="Z87" s="26" t="e">
        <f t="shared" ca="1" si="23"/>
        <v>#VALUE!</v>
      </c>
      <c r="AA87" s="21">
        <f t="shared" ca="1" si="14"/>
        <v>4.2082369971279095E-3</v>
      </c>
      <c r="AB87" s="21" t="e">
        <f t="shared" ca="1" si="24"/>
        <v>#VALUE!</v>
      </c>
    </row>
    <row r="88" spans="1:28" ht="13.8" x14ac:dyDescent="0.3">
      <c r="A88" s="24" t="str">
        <f t="shared" si="45"/>
        <v/>
      </c>
      <c r="B88" s="24" t="str">
        <f t="shared" si="25"/>
        <v/>
      </c>
      <c r="C88" s="8" t="str">
        <f t="shared" si="27"/>
        <v/>
      </c>
      <c r="D88" s="25" t="str">
        <f t="shared" si="28"/>
        <v/>
      </c>
      <c r="E88" s="25" t="str">
        <f t="shared" si="29"/>
        <v/>
      </c>
      <c r="F88" s="26" t="str">
        <f t="shared" si="30"/>
        <v/>
      </c>
      <c r="G88" s="189" t="str">
        <f t="shared" si="31"/>
        <v/>
      </c>
      <c r="H88" s="25" t="str">
        <f t="shared" si="32"/>
        <v/>
      </c>
      <c r="I88" s="22" t="str">
        <f t="shared" si="33"/>
        <v/>
      </c>
      <c r="J88" s="21" t="str">
        <f t="shared" si="34"/>
        <v/>
      </c>
      <c r="K88" s="21" t="str">
        <f t="shared" si="35"/>
        <v/>
      </c>
      <c r="L88" s="191" t="str">
        <f t="shared" si="36"/>
        <v/>
      </c>
      <c r="M88" s="191" t="str">
        <f t="shared" si="37"/>
        <v/>
      </c>
      <c r="N88" s="21" t="str">
        <f t="shared" si="38"/>
        <v/>
      </c>
      <c r="O88" s="21" t="str">
        <f t="shared" si="39"/>
        <v/>
      </c>
      <c r="P88" s="21" t="str">
        <f t="shared" si="40"/>
        <v/>
      </c>
      <c r="Q88" s="195" t="str">
        <f t="shared" si="41"/>
        <v/>
      </c>
      <c r="R88" s="22" t="str">
        <f t="shared" si="42"/>
        <v/>
      </c>
      <c r="S88" s="22" t="str">
        <f t="shared" si="43"/>
        <v/>
      </c>
      <c r="T88" s="193" t="str">
        <f t="shared" si="44"/>
        <v/>
      </c>
      <c r="V88" s="25" t="e">
        <f t="shared" si="20"/>
        <v>#VALUE!</v>
      </c>
      <c r="W88" s="194" t="e">
        <f t="shared" si="13"/>
        <v>#VALUE!</v>
      </c>
      <c r="X88" s="21" t="e">
        <f t="shared" ca="1" si="21"/>
        <v>#VALUE!</v>
      </c>
      <c r="Y88" s="21" t="e">
        <f t="shared" ca="1" si="22"/>
        <v>#VALUE!</v>
      </c>
      <c r="Z88" s="26" t="e">
        <f t="shared" ca="1" si="23"/>
        <v>#VALUE!</v>
      </c>
      <c r="AA88" s="21">
        <f t="shared" ca="1" si="14"/>
        <v>4.2082369971279095E-3</v>
      </c>
      <c r="AB88" s="21" t="e">
        <f t="shared" ca="1" si="24"/>
        <v>#VALUE!</v>
      </c>
    </row>
    <row r="89" spans="1:28" ht="13.8" x14ac:dyDescent="0.3">
      <c r="A89" s="24" t="str">
        <f t="shared" si="45"/>
        <v/>
      </c>
      <c r="B89" s="24" t="str">
        <f t="shared" si="25"/>
        <v/>
      </c>
      <c r="C89" s="8" t="str">
        <f t="shared" si="27"/>
        <v/>
      </c>
      <c r="D89" s="25" t="str">
        <f t="shared" si="28"/>
        <v/>
      </c>
      <c r="E89" s="25" t="str">
        <f t="shared" si="29"/>
        <v/>
      </c>
      <c r="F89" s="26" t="str">
        <f t="shared" si="30"/>
        <v/>
      </c>
      <c r="G89" s="189" t="str">
        <f t="shared" si="31"/>
        <v/>
      </c>
      <c r="H89" s="25" t="str">
        <f t="shared" si="32"/>
        <v/>
      </c>
      <c r="I89" s="22" t="str">
        <f t="shared" si="33"/>
        <v/>
      </c>
      <c r="J89" s="21" t="str">
        <f t="shared" si="34"/>
        <v/>
      </c>
      <c r="K89" s="21" t="str">
        <f t="shared" si="35"/>
        <v/>
      </c>
      <c r="L89" s="191" t="str">
        <f t="shared" si="36"/>
        <v/>
      </c>
      <c r="M89" s="191" t="str">
        <f t="shared" si="37"/>
        <v/>
      </c>
      <c r="N89" s="21" t="str">
        <f t="shared" si="38"/>
        <v/>
      </c>
      <c r="O89" s="21" t="str">
        <f t="shared" si="39"/>
        <v/>
      </c>
      <c r="P89" s="21" t="str">
        <f t="shared" si="40"/>
        <v/>
      </c>
      <c r="Q89" s="195" t="str">
        <f t="shared" si="41"/>
        <v/>
      </c>
      <c r="R89" s="22" t="str">
        <f t="shared" si="42"/>
        <v/>
      </c>
      <c r="S89" s="22" t="str">
        <f t="shared" si="43"/>
        <v/>
      </c>
      <c r="T89" s="193" t="str">
        <f t="shared" si="44"/>
        <v/>
      </c>
      <c r="V89" s="25" t="e">
        <f t="shared" si="20"/>
        <v>#VALUE!</v>
      </c>
      <c r="W89" s="194" t="e">
        <f t="shared" si="13"/>
        <v>#VALUE!</v>
      </c>
      <c r="X89" s="21" t="e">
        <f t="shared" ca="1" si="21"/>
        <v>#VALUE!</v>
      </c>
      <c r="Y89" s="21" t="e">
        <f t="shared" ca="1" si="22"/>
        <v>#VALUE!</v>
      </c>
      <c r="Z89" s="26" t="e">
        <f t="shared" ca="1" si="23"/>
        <v>#VALUE!</v>
      </c>
      <c r="AA89" s="21">
        <f t="shared" ca="1" si="14"/>
        <v>4.2082369971279095E-3</v>
      </c>
      <c r="AB89" s="21" t="e">
        <f t="shared" ca="1" si="24"/>
        <v>#VALUE!</v>
      </c>
    </row>
    <row r="90" spans="1:28" ht="13.8" x14ac:dyDescent="0.3">
      <c r="A90" s="24" t="str">
        <f t="shared" si="45"/>
        <v/>
      </c>
      <c r="B90" s="24" t="str">
        <f t="shared" si="25"/>
        <v/>
      </c>
      <c r="C90" s="8" t="str">
        <f t="shared" si="27"/>
        <v/>
      </c>
      <c r="D90" s="25" t="str">
        <f t="shared" si="28"/>
        <v/>
      </c>
      <c r="E90" s="25" t="str">
        <f t="shared" si="29"/>
        <v/>
      </c>
      <c r="F90" s="26" t="str">
        <f t="shared" si="30"/>
        <v/>
      </c>
      <c r="G90" s="189" t="str">
        <f t="shared" si="31"/>
        <v/>
      </c>
      <c r="H90" s="25" t="str">
        <f t="shared" si="32"/>
        <v/>
      </c>
      <c r="I90" s="22" t="str">
        <f t="shared" si="33"/>
        <v/>
      </c>
      <c r="J90" s="21" t="str">
        <f t="shared" si="34"/>
        <v/>
      </c>
      <c r="K90" s="21" t="str">
        <f t="shared" si="35"/>
        <v/>
      </c>
      <c r="L90" s="191" t="str">
        <f t="shared" si="36"/>
        <v/>
      </c>
      <c r="M90" s="191" t="str">
        <f t="shared" si="37"/>
        <v/>
      </c>
      <c r="N90" s="21" t="str">
        <f t="shared" si="38"/>
        <v/>
      </c>
      <c r="O90" s="21" t="str">
        <f t="shared" si="39"/>
        <v/>
      </c>
      <c r="P90" s="21" t="str">
        <f t="shared" si="40"/>
        <v/>
      </c>
      <c r="Q90" s="195" t="str">
        <f t="shared" si="41"/>
        <v/>
      </c>
      <c r="R90" s="22" t="str">
        <f t="shared" si="42"/>
        <v/>
      </c>
      <c r="S90" s="22" t="str">
        <f t="shared" si="43"/>
        <v/>
      </c>
      <c r="T90" s="193" t="str">
        <f t="shared" si="44"/>
        <v/>
      </c>
      <c r="V90" s="25" t="e">
        <f t="shared" si="20"/>
        <v>#VALUE!</v>
      </c>
      <c r="W90" s="194" t="e">
        <f t="shared" si="13"/>
        <v>#VALUE!</v>
      </c>
      <c r="X90" s="21" t="e">
        <f t="shared" ca="1" si="21"/>
        <v>#VALUE!</v>
      </c>
      <c r="Y90" s="21" t="e">
        <f t="shared" ca="1" si="22"/>
        <v>#VALUE!</v>
      </c>
      <c r="Z90" s="26" t="e">
        <f t="shared" ca="1" si="23"/>
        <v>#VALUE!</v>
      </c>
      <c r="AA90" s="21">
        <f t="shared" ca="1" si="14"/>
        <v>4.2082369971279095E-3</v>
      </c>
      <c r="AB90" s="21" t="e">
        <f t="shared" ca="1" si="24"/>
        <v>#VALUE!</v>
      </c>
    </row>
    <row r="91" spans="1:28" ht="13.8" x14ac:dyDescent="0.3">
      <c r="A91" s="24" t="str">
        <f t="shared" si="45"/>
        <v/>
      </c>
      <c r="B91" s="24" t="str">
        <f t="shared" si="25"/>
        <v/>
      </c>
      <c r="C91" s="8" t="str">
        <f t="shared" si="27"/>
        <v/>
      </c>
      <c r="D91" s="25" t="str">
        <f t="shared" si="28"/>
        <v/>
      </c>
      <c r="E91" s="25" t="str">
        <f t="shared" si="29"/>
        <v/>
      </c>
      <c r="F91" s="26" t="str">
        <f t="shared" si="30"/>
        <v/>
      </c>
      <c r="G91" s="189" t="str">
        <f t="shared" si="31"/>
        <v/>
      </c>
      <c r="H91" s="25" t="str">
        <f t="shared" si="32"/>
        <v/>
      </c>
      <c r="I91" s="22" t="str">
        <f t="shared" si="33"/>
        <v/>
      </c>
      <c r="J91" s="21" t="str">
        <f t="shared" si="34"/>
        <v/>
      </c>
      <c r="K91" s="21" t="str">
        <f t="shared" si="35"/>
        <v/>
      </c>
      <c r="L91" s="191" t="str">
        <f t="shared" si="36"/>
        <v/>
      </c>
      <c r="M91" s="191" t="str">
        <f t="shared" si="37"/>
        <v/>
      </c>
      <c r="N91" s="21" t="str">
        <f t="shared" si="38"/>
        <v/>
      </c>
      <c r="O91" s="21" t="str">
        <f t="shared" si="39"/>
        <v/>
      </c>
      <c r="P91" s="21" t="str">
        <f t="shared" si="40"/>
        <v/>
      </c>
      <c r="Q91" s="195" t="str">
        <f t="shared" si="41"/>
        <v/>
      </c>
      <c r="R91" s="22" t="str">
        <f t="shared" si="42"/>
        <v/>
      </c>
      <c r="S91" s="22" t="str">
        <f t="shared" si="43"/>
        <v/>
      </c>
      <c r="T91" s="193" t="str">
        <f t="shared" si="44"/>
        <v/>
      </c>
      <c r="V91" s="25" t="e">
        <f t="shared" si="20"/>
        <v>#VALUE!</v>
      </c>
      <c r="W91" s="194" t="e">
        <f t="shared" si="13"/>
        <v>#VALUE!</v>
      </c>
      <c r="X91" s="21" t="e">
        <f t="shared" ca="1" si="21"/>
        <v>#VALUE!</v>
      </c>
      <c r="Y91" s="21" t="e">
        <f t="shared" ca="1" si="22"/>
        <v>#VALUE!</v>
      </c>
      <c r="Z91" s="26" t="e">
        <f t="shared" ca="1" si="23"/>
        <v>#VALUE!</v>
      </c>
      <c r="AA91" s="21">
        <f t="shared" ca="1" si="14"/>
        <v>4.2082369971279095E-3</v>
      </c>
      <c r="AB91" s="21" t="e">
        <f t="shared" ca="1" si="24"/>
        <v>#VALUE!</v>
      </c>
    </row>
    <row r="92" spans="1:28" ht="13.8" x14ac:dyDescent="0.3">
      <c r="A92" s="24" t="str">
        <f t="shared" si="45"/>
        <v/>
      </c>
      <c r="B92" s="24" t="str">
        <f t="shared" si="25"/>
        <v/>
      </c>
      <c r="C92" s="8" t="str">
        <f t="shared" si="27"/>
        <v/>
      </c>
      <c r="D92" s="25" t="str">
        <f t="shared" si="28"/>
        <v/>
      </c>
      <c r="E92" s="25" t="str">
        <f t="shared" si="29"/>
        <v/>
      </c>
      <c r="F92" s="26" t="str">
        <f t="shared" si="30"/>
        <v/>
      </c>
      <c r="G92" s="189" t="str">
        <f t="shared" si="31"/>
        <v/>
      </c>
      <c r="H92" s="25" t="str">
        <f t="shared" si="32"/>
        <v/>
      </c>
      <c r="I92" s="22" t="str">
        <f t="shared" si="33"/>
        <v/>
      </c>
      <c r="J92" s="21" t="str">
        <f t="shared" si="34"/>
        <v/>
      </c>
      <c r="K92" s="21" t="str">
        <f t="shared" si="35"/>
        <v/>
      </c>
      <c r="L92" s="191" t="str">
        <f t="shared" si="36"/>
        <v/>
      </c>
      <c r="M92" s="191" t="str">
        <f t="shared" si="37"/>
        <v/>
      </c>
      <c r="N92" s="21" t="str">
        <f t="shared" si="38"/>
        <v/>
      </c>
      <c r="O92" s="21" t="str">
        <f t="shared" si="39"/>
        <v/>
      </c>
      <c r="P92" s="21" t="str">
        <f t="shared" si="40"/>
        <v/>
      </c>
      <c r="Q92" s="195" t="str">
        <f t="shared" si="41"/>
        <v/>
      </c>
      <c r="R92" s="22" t="str">
        <f t="shared" si="42"/>
        <v/>
      </c>
      <c r="S92" s="22" t="str">
        <f t="shared" si="43"/>
        <v/>
      </c>
      <c r="T92" s="193" t="str">
        <f t="shared" si="44"/>
        <v/>
      </c>
      <c r="V92" s="25" t="e">
        <f t="shared" si="20"/>
        <v>#VALUE!</v>
      </c>
      <c r="W92" s="194" t="e">
        <f t="shared" si="13"/>
        <v>#VALUE!</v>
      </c>
      <c r="X92" s="21" t="e">
        <f t="shared" ca="1" si="21"/>
        <v>#VALUE!</v>
      </c>
      <c r="Y92" s="21" t="e">
        <f t="shared" ca="1" si="22"/>
        <v>#VALUE!</v>
      </c>
      <c r="Z92" s="26" t="e">
        <f t="shared" ca="1" si="23"/>
        <v>#VALUE!</v>
      </c>
      <c r="AA92" s="21">
        <f t="shared" ca="1" si="14"/>
        <v>4.2082369971279095E-3</v>
      </c>
      <c r="AB92" s="21" t="e">
        <f t="shared" ca="1" si="24"/>
        <v>#VALUE!</v>
      </c>
    </row>
    <row r="93" spans="1:28" ht="13.8" x14ac:dyDescent="0.3">
      <c r="A93" s="24" t="str">
        <f t="shared" si="45"/>
        <v/>
      </c>
      <c r="B93" s="24" t="str">
        <f t="shared" si="25"/>
        <v/>
      </c>
      <c r="C93" s="8" t="str">
        <f t="shared" si="27"/>
        <v/>
      </c>
      <c r="D93" s="25" t="str">
        <f t="shared" si="28"/>
        <v/>
      </c>
      <c r="E93" s="25" t="str">
        <f t="shared" si="29"/>
        <v/>
      </c>
      <c r="F93" s="26" t="str">
        <f t="shared" si="30"/>
        <v/>
      </c>
      <c r="G93" s="189" t="str">
        <f t="shared" si="31"/>
        <v/>
      </c>
      <c r="H93" s="25" t="str">
        <f t="shared" si="32"/>
        <v/>
      </c>
      <c r="I93" s="22" t="str">
        <f t="shared" si="33"/>
        <v/>
      </c>
      <c r="J93" s="21" t="str">
        <f t="shared" si="34"/>
        <v/>
      </c>
      <c r="K93" s="21" t="str">
        <f t="shared" si="35"/>
        <v/>
      </c>
      <c r="L93" s="191" t="str">
        <f t="shared" si="36"/>
        <v/>
      </c>
      <c r="M93" s="191" t="str">
        <f t="shared" si="37"/>
        <v/>
      </c>
      <c r="N93" s="21" t="str">
        <f t="shared" si="38"/>
        <v/>
      </c>
      <c r="O93" s="21" t="str">
        <f t="shared" si="39"/>
        <v/>
      </c>
      <c r="P93" s="21" t="str">
        <f t="shared" si="40"/>
        <v/>
      </c>
      <c r="Q93" s="195" t="str">
        <f t="shared" si="41"/>
        <v/>
      </c>
      <c r="R93" s="22" t="str">
        <f t="shared" si="42"/>
        <v/>
      </c>
      <c r="S93" s="22" t="str">
        <f t="shared" si="43"/>
        <v/>
      </c>
      <c r="T93" s="193" t="str">
        <f t="shared" si="44"/>
        <v/>
      </c>
      <c r="V93" s="25" t="e">
        <f t="shared" si="20"/>
        <v>#VALUE!</v>
      </c>
      <c r="W93" s="194" t="e">
        <f t="shared" si="13"/>
        <v>#VALUE!</v>
      </c>
      <c r="X93" s="21" t="e">
        <f t="shared" ca="1" si="21"/>
        <v>#VALUE!</v>
      </c>
      <c r="Y93" s="21" t="e">
        <f t="shared" ca="1" si="22"/>
        <v>#VALUE!</v>
      </c>
      <c r="Z93" s="26" t="e">
        <f t="shared" ca="1" si="23"/>
        <v>#VALUE!</v>
      </c>
      <c r="AA93" s="21">
        <f t="shared" ca="1" si="14"/>
        <v>4.2082369971279095E-3</v>
      </c>
      <c r="AB93" s="21" t="e">
        <f t="shared" ca="1" si="24"/>
        <v>#VALUE!</v>
      </c>
    </row>
    <row r="94" spans="1:28" ht="13.8" x14ac:dyDescent="0.3">
      <c r="A94" s="24" t="str">
        <f t="shared" si="45"/>
        <v/>
      </c>
      <c r="B94" s="24" t="str">
        <f t="shared" si="25"/>
        <v/>
      </c>
      <c r="C94" s="8" t="str">
        <f t="shared" si="27"/>
        <v/>
      </c>
      <c r="D94" s="25" t="str">
        <f t="shared" si="28"/>
        <v/>
      </c>
      <c r="E94" s="25" t="str">
        <f t="shared" si="29"/>
        <v/>
      </c>
      <c r="F94" s="26" t="str">
        <f t="shared" si="30"/>
        <v/>
      </c>
      <c r="G94" s="189" t="str">
        <f t="shared" si="31"/>
        <v/>
      </c>
      <c r="H94" s="25" t="str">
        <f t="shared" si="32"/>
        <v/>
      </c>
      <c r="I94" s="22" t="str">
        <f t="shared" si="33"/>
        <v/>
      </c>
      <c r="J94" s="21" t="str">
        <f t="shared" si="34"/>
        <v/>
      </c>
      <c r="K94" s="21" t="str">
        <f t="shared" si="35"/>
        <v/>
      </c>
      <c r="L94" s="191" t="str">
        <f t="shared" si="36"/>
        <v/>
      </c>
      <c r="M94" s="191" t="str">
        <f t="shared" si="37"/>
        <v/>
      </c>
      <c r="N94" s="21" t="str">
        <f t="shared" si="38"/>
        <v/>
      </c>
      <c r="O94" s="21" t="str">
        <f t="shared" si="39"/>
        <v/>
      </c>
      <c r="P94" s="21" t="str">
        <f t="shared" si="40"/>
        <v/>
      </c>
      <c r="Q94" s="195" t="str">
        <f t="shared" si="41"/>
        <v/>
      </c>
      <c r="R94" s="22" t="str">
        <f t="shared" si="42"/>
        <v/>
      </c>
      <c r="S94" s="22" t="str">
        <f t="shared" si="43"/>
        <v/>
      </c>
      <c r="T94" s="193" t="str">
        <f t="shared" si="44"/>
        <v/>
      </c>
      <c r="V94" s="25" t="e">
        <f t="shared" si="20"/>
        <v>#VALUE!</v>
      </c>
      <c r="W94" s="194" t="e">
        <f t="shared" si="13"/>
        <v>#VALUE!</v>
      </c>
      <c r="X94" s="21" t="e">
        <f t="shared" ca="1" si="21"/>
        <v>#VALUE!</v>
      </c>
      <c r="Y94" s="21" t="e">
        <f t="shared" ca="1" si="22"/>
        <v>#VALUE!</v>
      </c>
      <c r="Z94" s="26" t="e">
        <f t="shared" ca="1" si="23"/>
        <v>#VALUE!</v>
      </c>
      <c r="AA94" s="21">
        <f t="shared" ca="1" si="14"/>
        <v>4.2082369971279095E-3</v>
      </c>
      <c r="AB94" s="21" t="e">
        <f t="shared" ca="1" si="24"/>
        <v>#VALUE!</v>
      </c>
    </row>
    <row r="95" spans="1:28" ht="13.8" x14ac:dyDescent="0.3">
      <c r="A95" s="24" t="str">
        <f t="shared" si="45"/>
        <v/>
      </c>
      <c r="B95" s="24" t="str">
        <f t="shared" si="25"/>
        <v/>
      </c>
      <c r="C95" s="8" t="str">
        <f t="shared" si="27"/>
        <v/>
      </c>
      <c r="D95" s="25" t="str">
        <f t="shared" si="28"/>
        <v/>
      </c>
      <c r="E95" s="25" t="str">
        <f t="shared" si="29"/>
        <v/>
      </c>
      <c r="F95" s="26" t="str">
        <f t="shared" si="30"/>
        <v/>
      </c>
      <c r="G95" s="189" t="str">
        <f t="shared" si="31"/>
        <v/>
      </c>
      <c r="H95" s="25" t="str">
        <f t="shared" si="32"/>
        <v/>
      </c>
      <c r="I95" s="22" t="str">
        <f t="shared" si="33"/>
        <v/>
      </c>
      <c r="J95" s="21" t="str">
        <f t="shared" si="34"/>
        <v/>
      </c>
      <c r="K95" s="21" t="str">
        <f t="shared" si="35"/>
        <v/>
      </c>
      <c r="L95" s="191" t="str">
        <f t="shared" si="36"/>
        <v/>
      </c>
      <c r="M95" s="191" t="str">
        <f t="shared" si="37"/>
        <v/>
      </c>
      <c r="N95" s="21" t="str">
        <f t="shared" si="38"/>
        <v/>
      </c>
      <c r="O95" s="21" t="str">
        <f t="shared" si="39"/>
        <v/>
      </c>
      <c r="P95" s="21" t="str">
        <f t="shared" si="40"/>
        <v/>
      </c>
      <c r="Q95" s="195" t="str">
        <f t="shared" si="41"/>
        <v/>
      </c>
      <c r="R95" s="22" t="str">
        <f t="shared" si="42"/>
        <v/>
      </c>
      <c r="S95" s="22" t="str">
        <f t="shared" si="43"/>
        <v/>
      </c>
      <c r="T95" s="193" t="str">
        <f t="shared" si="44"/>
        <v/>
      </c>
      <c r="V95" s="25" t="e">
        <f t="shared" si="20"/>
        <v>#VALUE!</v>
      </c>
      <c r="W95" s="194" t="e">
        <f t="shared" si="13"/>
        <v>#VALUE!</v>
      </c>
      <c r="X95" s="21" t="e">
        <f t="shared" ca="1" si="21"/>
        <v>#VALUE!</v>
      </c>
      <c r="Y95" s="21" t="e">
        <f t="shared" ca="1" si="22"/>
        <v>#VALUE!</v>
      </c>
      <c r="Z95" s="26" t="e">
        <f t="shared" ca="1" si="23"/>
        <v>#VALUE!</v>
      </c>
      <c r="AA95" s="21">
        <f t="shared" ca="1" si="14"/>
        <v>4.2082369971279095E-3</v>
      </c>
      <c r="AB95" s="21" t="e">
        <f t="shared" ca="1" si="24"/>
        <v>#VALUE!</v>
      </c>
    </row>
    <row r="96" spans="1:28" ht="13.8" x14ac:dyDescent="0.3">
      <c r="A96" s="24" t="str">
        <f t="shared" si="45"/>
        <v/>
      </c>
      <c r="B96" s="24" t="str">
        <f t="shared" si="25"/>
        <v/>
      </c>
      <c r="C96" s="8" t="str">
        <f t="shared" si="27"/>
        <v/>
      </c>
      <c r="D96" s="25" t="str">
        <f t="shared" si="28"/>
        <v/>
      </c>
      <c r="E96" s="25" t="str">
        <f t="shared" si="29"/>
        <v/>
      </c>
      <c r="F96" s="26" t="str">
        <f t="shared" si="30"/>
        <v/>
      </c>
      <c r="G96" s="189" t="str">
        <f t="shared" si="31"/>
        <v/>
      </c>
      <c r="H96" s="25" t="str">
        <f t="shared" si="32"/>
        <v/>
      </c>
      <c r="I96" s="22" t="str">
        <f t="shared" si="33"/>
        <v/>
      </c>
      <c r="J96" s="21" t="str">
        <f t="shared" si="34"/>
        <v/>
      </c>
      <c r="K96" s="21" t="str">
        <f t="shared" si="35"/>
        <v/>
      </c>
      <c r="L96" s="191" t="str">
        <f t="shared" si="36"/>
        <v/>
      </c>
      <c r="M96" s="191" t="str">
        <f t="shared" si="37"/>
        <v/>
      </c>
      <c r="N96" s="21" t="str">
        <f t="shared" si="38"/>
        <v/>
      </c>
      <c r="O96" s="21" t="str">
        <f t="shared" si="39"/>
        <v/>
      </c>
      <c r="P96" s="21" t="str">
        <f t="shared" si="40"/>
        <v/>
      </c>
      <c r="Q96" s="195" t="str">
        <f t="shared" si="41"/>
        <v/>
      </c>
      <c r="R96" s="22" t="str">
        <f t="shared" si="42"/>
        <v/>
      </c>
      <c r="S96" s="22" t="str">
        <f t="shared" si="43"/>
        <v/>
      </c>
      <c r="T96" s="193" t="str">
        <f t="shared" si="44"/>
        <v/>
      </c>
      <c r="V96" s="25" t="e">
        <f t="shared" si="20"/>
        <v>#VALUE!</v>
      </c>
      <c r="W96" s="194" t="e">
        <f t="shared" si="13"/>
        <v>#VALUE!</v>
      </c>
      <c r="X96" s="21" t="e">
        <f t="shared" ca="1" si="21"/>
        <v>#VALUE!</v>
      </c>
      <c r="Y96" s="21" t="e">
        <f t="shared" ca="1" si="22"/>
        <v>#VALUE!</v>
      </c>
      <c r="Z96" s="26" t="e">
        <f t="shared" ca="1" si="23"/>
        <v>#VALUE!</v>
      </c>
      <c r="AA96" s="21">
        <f t="shared" ca="1" si="14"/>
        <v>4.2082369971279095E-3</v>
      </c>
      <c r="AB96" s="21" t="e">
        <f t="shared" ca="1" si="24"/>
        <v>#VALUE!</v>
      </c>
    </row>
    <row r="97" spans="1:28" ht="13.8" x14ac:dyDescent="0.3">
      <c r="A97" s="24" t="str">
        <f t="shared" ref="A97:A103" si="46">+IF(A96&gt;=$G$12,"",A96+1)</f>
        <v/>
      </c>
      <c r="B97" s="24" t="str">
        <f t="shared" si="25"/>
        <v/>
      </c>
      <c r="C97" s="8" t="str">
        <f t="shared" si="27"/>
        <v/>
      </c>
      <c r="D97" s="25" t="str">
        <f t="shared" si="28"/>
        <v/>
      </c>
      <c r="E97" s="25" t="str">
        <f t="shared" si="29"/>
        <v/>
      </c>
      <c r="F97" s="26" t="str">
        <f t="shared" si="30"/>
        <v/>
      </c>
      <c r="G97" s="189" t="str">
        <f t="shared" si="31"/>
        <v/>
      </c>
      <c r="H97" s="25" t="str">
        <f t="shared" si="32"/>
        <v/>
      </c>
      <c r="I97" s="22" t="str">
        <f t="shared" si="33"/>
        <v/>
      </c>
      <c r="J97" s="21" t="str">
        <f t="shared" si="34"/>
        <v/>
      </c>
      <c r="K97" s="21" t="str">
        <f t="shared" si="35"/>
        <v/>
      </c>
      <c r="L97" s="191" t="str">
        <f t="shared" si="36"/>
        <v/>
      </c>
      <c r="M97" s="191" t="str">
        <f t="shared" si="37"/>
        <v/>
      </c>
      <c r="N97" s="21" t="str">
        <f t="shared" si="38"/>
        <v/>
      </c>
      <c r="O97" s="21" t="str">
        <f t="shared" si="39"/>
        <v/>
      </c>
      <c r="P97" s="21" t="str">
        <f t="shared" si="40"/>
        <v/>
      </c>
      <c r="Q97" s="195" t="str">
        <f t="shared" si="41"/>
        <v/>
      </c>
      <c r="R97" s="22" t="str">
        <f t="shared" si="42"/>
        <v/>
      </c>
      <c r="S97" s="22" t="str">
        <f t="shared" si="43"/>
        <v/>
      </c>
      <c r="T97" s="193" t="str">
        <f t="shared" si="44"/>
        <v/>
      </c>
      <c r="V97" s="25" t="e">
        <f t="shared" si="20"/>
        <v>#VALUE!</v>
      </c>
      <c r="W97" s="194" t="e">
        <f t="shared" ref="W97:W103" si="47">1/((1+($I$8/100))^(V97/$P$9))*1</f>
        <v>#VALUE!</v>
      </c>
      <c r="X97" s="21" t="e">
        <f t="shared" ca="1" si="21"/>
        <v>#VALUE!</v>
      </c>
      <c r="Y97" s="21" t="e">
        <f t="shared" ca="1" si="22"/>
        <v>#VALUE!</v>
      </c>
      <c r="Z97" s="26" t="e">
        <f t="shared" ca="1" si="23"/>
        <v>#VALUE!</v>
      </c>
      <c r="AA97" s="21">
        <f t="shared" ref="AA97:AA103" ca="1" si="48">$J$23</f>
        <v>4.2082369971279095E-3</v>
      </c>
      <c r="AB97" s="21" t="e">
        <f t="shared" ca="1" si="24"/>
        <v>#VALUE!</v>
      </c>
    </row>
    <row r="98" spans="1:28" ht="13.8" x14ac:dyDescent="0.3">
      <c r="A98" s="24" t="str">
        <f t="shared" si="46"/>
        <v/>
      </c>
      <c r="B98" s="24" t="str">
        <f t="shared" si="25"/>
        <v/>
      </c>
      <c r="C98" s="8" t="str">
        <f t="shared" si="27"/>
        <v/>
      </c>
      <c r="D98" s="25" t="str">
        <f t="shared" si="28"/>
        <v/>
      </c>
      <c r="E98" s="25" t="str">
        <f t="shared" si="29"/>
        <v/>
      </c>
      <c r="F98" s="26" t="str">
        <f t="shared" si="30"/>
        <v/>
      </c>
      <c r="G98" s="189" t="str">
        <f t="shared" si="31"/>
        <v/>
      </c>
      <c r="H98" s="25" t="str">
        <f t="shared" si="32"/>
        <v/>
      </c>
      <c r="I98" s="22" t="str">
        <f t="shared" si="33"/>
        <v/>
      </c>
      <c r="J98" s="21" t="str">
        <f t="shared" si="34"/>
        <v/>
      </c>
      <c r="K98" s="21" t="str">
        <f t="shared" si="35"/>
        <v/>
      </c>
      <c r="L98" s="191" t="str">
        <f t="shared" si="36"/>
        <v/>
      </c>
      <c r="M98" s="191" t="str">
        <f t="shared" si="37"/>
        <v/>
      </c>
      <c r="N98" s="21" t="str">
        <f t="shared" si="38"/>
        <v/>
      </c>
      <c r="O98" s="21" t="str">
        <f t="shared" si="39"/>
        <v/>
      </c>
      <c r="P98" s="21" t="str">
        <f t="shared" si="40"/>
        <v/>
      </c>
      <c r="Q98" s="195" t="str">
        <f t="shared" si="41"/>
        <v/>
      </c>
      <c r="R98" s="22" t="str">
        <f t="shared" si="42"/>
        <v/>
      </c>
      <c r="S98" s="22" t="str">
        <f t="shared" si="43"/>
        <v/>
      </c>
      <c r="T98" s="193" t="str">
        <f t="shared" si="44"/>
        <v/>
      </c>
      <c r="V98" s="25" t="e">
        <f t="shared" ref="V98:V103" si="49">V97+H98</f>
        <v>#VALUE!</v>
      </c>
      <c r="W98" s="194" t="e">
        <f t="shared" si="47"/>
        <v>#VALUE!</v>
      </c>
      <c r="X98" s="21" t="e">
        <f t="shared" ref="X98:X103" ca="1" si="50">AB97</f>
        <v>#VALUE!</v>
      </c>
      <c r="Y98" s="21" t="e">
        <f t="shared" ref="Y98:Y103" ca="1" si="51">AA98-Z98</f>
        <v>#VALUE!</v>
      </c>
      <c r="Z98" s="26" t="e">
        <f t="shared" ref="Z98:Z103" ca="1" si="52">(((1+($I$8/100))^((H98)/$P$9))-1)*X98</f>
        <v>#VALUE!</v>
      </c>
      <c r="AA98" s="21">
        <f t="shared" ca="1" si="48"/>
        <v>4.2082369971279095E-3</v>
      </c>
      <c r="AB98" s="21" t="e">
        <f t="shared" ref="AB98:AB103" ca="1" si="53">X98-Y98</f>
        <v>#VALUE!</v>
      </c>
    </row>
    <row r="99" spans="1:28" ht="13.8" x14ac:dyDescent="0.3">
      <c r="A99" s="24" t="str">
        <f t="shared" si="46"/>
        <v/>
      </c>
      <c r="B99" s="24" t="str">
        <f t="shared" ref="B99:B103" si="54">IF(A99="","",IF(A99&lt;=$H$21,0,1))</f>
        <v/>
      </c>
      <c r="C99" s="8" t="str">
        <f t="shared" si="27"/>
        <v/>
      </c>
      <c r="D99" s="25" t="str">
        <f t="shared" si="28"/>
        <v/>
      </c>
      <c r="E99" s="25" t="str">
        <f t="shared" si="29"/>
        <v/>
      </c>
      <c r="F99" s="26" t="str">
        <f t="shared" si="30"/>
        <v/>
      </c>
      <c r="G99" s="189" t="str">
        <f t="shared" si="31"/>
        <v/>
      </c>
      <c r="H99" s="25" t="str">
        <f t="shared" si="32"/>
        <v/>
      </c>
      <c r="I99" s="22" t="str">
        <f t="shared" si="33"/>
        <v/>
      </c>
      <c r="J99" s="21" t="str">
        <f t="shared" si="34"/>
        <v/>
      </c>
      <c r="K99" s="21" t="str">
        <f t="shared" si="35"/>
        <v/>
      </c>
      <c r="L99" s="191" t="str">
        <f t="shared" si="36"/>
        <v/>
      </c>
      <c r="M99" s="191" t="str">
        <f t="shared" si="37"/>
        <v/>
      </c>
      <c r="N99" s="21" t="str">
        <f t="shared" si="38"/>
        <v/>
      </c>
      <c r="O99" s="21" t="str">
        <f t="shared" si="39"/>
        <v/>
      </c>
      <c r="P99" s="21" t="str">
        <f t="shared" si="40"/>
        <v/>
      </c>
      <c r="Q99" s="195" t="str">
        <f t="shared" si="41"/>
        <v/>
      </c>
      <c r="R99" s="22" t="str">
        <f t="shared" si="42"/>
        <v/>
      </c>
      <c r="S99" s="22" t="str">
        <f t="shared" si="43"/>
        <v/>
      </c>
      <c r="T99" s="193" t="str">
        <f t="shared" si="44"/>
        <v/>
      </c>
      <c r="V99" s="25" t="e">
        <f t="shared" si="49"/>
        <v>#VALUE!</v>
      </c>
      <c r="W99" s="194" t="e">
        <f t="shared" si="47"/>
        <v>#VALUE!</v>
      </c>
      <c r="X99" s="21" t="e">
        <f t="shared" ca="1" si="50"/>
        <v>#VALUE!</v>
      </c>
      <c r="Y99" s="21" t="e">
        <f t="shared" ca="1" si="51"/>
        <v>#VALUE!</v>
      </c>
      <c r="Z99" s="26" t="e">
        <f t="shared" ca="1" si="52"/>
        <v>#VALUE!</v>
      </c>
      <c r="AA99" s="21">
        <f t="shared" ca="1" si="48"/>
        <v>4.2082369971279095E-3</v>
      </c>
      <c r="AB99" s="21" t="e">
        <f t="shared" ca="1" si="53"/>
        <v>#VALUE!</v>
      </c>
    </row>
    <row r="100" spans="1:28" ht="13.8" x14ac:dyDescent="0.3">
      <c r="A100" s="24" t="str">
        <f t="shared" si="46"/>
        <v/>
      </c>
      <c r="B100" s="24" t="str">
        <f t="shared" si="54"/>
        <v/>
      </c>
      <c r="C100" s="8" t="str">
        <f t="shared" si="27"/>
        <v/>
      </c>
      <c r="D100" s="25" t="str">
        <f t="shared" si="28"/>
        <v/>
      </c>
      <c r="E100" s="25" t="str">
        <f t="shared" si="29"/>
        <v/>
      </c>
      <c r="F100" s="26" t="str">
        <f t="shared" si="30"/>
        <v/>
      </c>
      <c r="G100" s="189" t="str">
        <f t="shared" si="31"/>
        <v/>
      </c>
      <c r="H100" s="25" t="str">
        <f t="shared" si="32"/>
        <v/>
      </c>
      <c r="I100" s="22" t="str">
        <f t="shared" si="33"/>
        <v/>
      </c>
      <c r="J100" s="21" t="str">
        <f t="shared" si="34"/>
        <v/>
      </c>
      <c r="K100" s="21" t="str">
        <f t="shared" si="35"/>
        <v/>
      </c>
      <c r="L100" s="191" t="str">
        <f t="shared" si="36"/>
        <v/>
      </c>
      <c r="M100" s="191" t="str">
        <f t="shared" si="37"/>
        <v/>
      </c>
      <c r="N100" s="21" t="str">
        <f t="shared" si="38"/>
        <v/>
      </c>
      <c r="O100" s="21" t="str">
        <f t="shared" si="39"/>
        <v/>
      </c>
      <c r="P100" s="21" t="str">
        <f t="shared" si="40"/>
        <v/>
      </c>
      <c r="Q100" s="195" t="str">
        <f t="shared" si="41"/>
        <v/>
      </c>
      <c r="R100" s="22" t="str">
        <f t="shared" si="42"/>
        <v/>
      </c>
      <c r="S100" s="22" t="str">
        <f t="shared" si="43"/>
        <v/>
      </c>
      <c r="T100" s="193" t="str">
        <f t="shared" si="44"/>
        <v/>
      </c>
      <c r="V100" s="25" t="e">
        <f t="shared" si="49"/>
        <v>#VALUE!</v>
      </c>
      <c r="W100" s="194" t="e">
        <f t="shared" si="47"/>
        <v>#VALUE!</v>
      </c>
      <c r="X100" s="21" t="e">
        <f t="shared" ca="1" si="50"/>
        <v>#VALUE!</v>
      </c>
      <c r="Y100" s="21" t="e">
        <f t="shared" ca="1" si="51"/>
        <v>#VALUE!</v>
      </c>
      <c r="Z100" s="26" t="e">
        <f t="shared" ca="1" si="52"/>
        <v>#VALUE!</v>
      </c>
      <c r="AA100" s="21">
        <f t="shared" ca="1" si="48"/>
        <v>4.2082369971279095E-3</v>
      </c>
      <c r="AB100" s="21" t="e">
        <f t="shared" ca="1" si="53"/>
        <v>#VALUE!</v>
      </c>
    </row>
    <row r="101" spans="1:28" ht="13.8" x14ac:dyDescent="0.3">
      <c r="A101" s="24" t="str">
        <f t="shared" si="46"/>
        <v/>
      </c>
      <c r="B101" s="24" t="str">
        <f t="shared" si="54"/>
        <v/>
      </c>
      <c r="C101" s="8" t="str">
        <f t="shared" si="27"/>
        <v/>
      </c>
      <c r="D101" s="25" t="str">
        <f t="shared" si="28"/>
        <v/>
      </c>
      <c r="E101" s="25" t="str">
        <f t="shared" si="29"/>
        <v/>
      </c>
      <c r="F101" s="26" t="str">
        <f t="shared" si="30"/>
        <v/>
      </c>
      <c r="G101" s="189" t="str">
        <f t="shared" si="31"/>
        <v/>
      </c>
      <c r="H101" s="25" t="str">
        <f t="shared" si="32"/>
        <v/>
      </c>
      <c r="I101" s="22" t="str">
        <f t="shared" si="33"/>
        <v/>
      </c>
      <c r="J101" s="21" t="str">
        <f t="shared" si="34"/>
        <v/>
      </c>
      <c r="K101" s="21" t="str">
        <f t="shared" si="35"/>
        <v/>
      </c>
      <c r="L101" s="191" t="str">
        <f t="shared" si="36"/>
        <v/>
      </c>
      <c r="M101" s="191" t="str">
        <f t="shared" si="37"/>
        <v/>
      </c>
      <c r="N101" s="21" t="str">
        <f t="shared" si="38"/>
        <v/>
      </c>
      <c r="O101" s="21" t="str">
        <f t="shared" si="39"/>
        <v/>
      </c>
      <c r="P101" s="21" t="str">
        <f t="shared" si="40"/>
        <v/>
      </c>
      <c r="Q101" s="195" t="str">
        <f t="shared" si="41"/>
        <v/>
      </c>
      <c r="R101" s="22" t="str">
        <f t="shared" si="42"/>
        <v/>
      </c>
      <c r="S101" s="22" t="str">
        <f t="shared" si="43"/>
        <v/>
      </c>
      <c r="T101" s="193" t="str">
        <f t="shared" si="44"/>
        <v/>
      </c>
      <c r="V101" s="25" t="e">
        <f t="shared" si="49"/>
        <v>#VALUE!</v>
      </c>
      <c r="W101" s="194" t="e">
        <f t="shared" si="47"/>
        <v>#VALUE!</v>
      </c>
      <c r="X101" s="21" t="e">
        <f t="shared" ca="1" si="50"/>
        <v>#VALUE!</v>
      </c>
      <c r="Y101" s="21" t="e">
        <f t="shared" ca="1" si="51"/>
        <v>#VALUE!</v>
      </c>
      <c r="Z101" s="26" t="e">
        <f t="shared" ca="1" si="52"/>
        <v>#VALUE!</v>
      </c>
      <c r="AA101" s="21">
        <f t="shared" ca="1" si="48"/>
        <v>4.2082369971279095E-3</v>
      </c>
      <c r="AB101" s="21" t="e">
        <f t="shared" ca="1" si="53"/>
        <v>#VALUE!</v>
      </c>
    </row>
    <row r="102" spans="1:28" ht="13.8" x14ac:dyDescent="0.3">
      <c r="A102" s="24" t="str">
        <f t="shared" si="46"/>
        <v/>
      </c>
      <c r="B102" s="24" t="str">
        <f t="shared" si="54"/>
        <v/>
      </c>
      <c r="C102" s="8" t="str">
        <f t="shared" si="27"/>
        <v/>
      </c>
      <c r="D102" s="25" t="str">
        <f t="shared" si="28"/>
        <v/>
      </c>
      <c r="E102" s="25" t="str">
        <f t="shared" si="29"/>
        <v/>
      </c>
      <c r="F102" s="26" t="str">
        <f t="shared" si="30"/>
        <v/>
      </c>
      <c r="G102" s="189" t="str">
        <f t="shared" si="31"/>
        <v/>
      </c>
      <c r="H102" s="25" t="str">
        <f t="shared" si="32"/>
        <v/>
      </c>
      <c r="I102" s="22" t="str">
        <f t="shared" si="33"/>
        <v/>
      </c>
      <c r="J102" s="21" t="str">
        <f t="shared" si="34"/>
        <v/>
      </c>
      <c r="K102" s="21" t="str">
        <f t="shared" si="35"/>
        <v/>
      </c>
      <c r="L102" s="191" t="str">
        <f t="shared" si="36"/>
        <v/>
      </c>
      <c r="M102" s="191" t="str">
        <f t="shared" si="37"/>
        <v/>
      </c>
      <c r="N102" s="21" t="str">
        <f t="shared" si="38"/>
        <v/>
      </c>
      <c r="O102" s="21" t="str">
        <f t="shared" si="39"/>
        <v/>
      </c>
      <c r="P102" s="21" t="str">
        <f t="shared" si="40"/>
        <v/>
      </c>
      <c r="Q102" s="195" t="str">
        <f t="shared" si="41"/>
        <v/>
      </c>
      <c r="R102" s="22" t="str">
        <f t="shared" si="42"/>
        <v/>
      </c>
      <c r="S102" s="22" t="str">
        <f t="shared" si="43"/>
        <v/>
      </c>
      <c r="T102" s="193" t="str">
        <f t="shared" si="44"/>
        <v/>
      </c>
      <c r="V102" s="25" t="e">
        <f t="shared" si="49"/>
        <v>#VALUE!</v>
      </c>
      <c r="W102" s="205" t="e">
        <f t="shared" si="47"/>
        <v>#VALUE!</v>
      </c>
      <c r="X102" s="21" t="e">
        <f t="shared" ca="1" si="50"/>
        <v>#VALUE!</v>
      </c>
      <c r="Y102" s="21" t="e">
        <f t="shared" ca="1" si="51"/>
        <v>#VALUE!</v>
      </c>
      <c r="Z102" s="26" t="e">
        <f t="shared" ca="1" si="52"/>
        <v>#VALUE!</v>
      </c>
      <c r="AA102" s="21">
        <f t="shared" ca="1" si="48"/>
        <v>4.2082369971279095E-3</v>
      </c>
      <c r="AB102" s="21" t="e">
        <f t="shared" ca="1" si="53"/>
        <v>#VALUE!</v>
      </c>
    </row>
    <row r="103" spans="1:28" ht="13.8" x14ac:dyDescent="0.3">
      <c r="A103" s="24" t="str">
        <f t="shared" si="46"/>
        <v/>
      </c>
      <c r="B103" s="24" t="str">
        <f t="shared" si="54"/>
        <v/>
      </c>
      <c r="C103" s="8" t="str">
        <f t="shared" si="27"/>
        <v/>
      </c>
      <c r="D103" s="25" t="str">
        <f t="shared" si="28"/>
        <v/>
      </c>
      <c r="E103" s="25" t="str">
        <f t="shared" si="29"/>
        <v/>
      </c>
      <c r="F103" s="26" t="str">
        <f t="shared" si="30"/>
        <v/>
      </c>
      <c r="G103" s="189" t="str">
        <f t="shared" si="31"/>
        <v/>
      </c>
      <c r="H103" s="25" t="str">
        <f t="shared" si="32"/>
        <v/>
      </c>
      <c r="I103" s="22" t="str">
        <f t="shared" si="33"/>
        <v/>
      </c>
      <c r="J103" s="21" t="str">
        <f t="shared" si="34"/>
        <v/>
      </c>
      <c r="K103" s="21" t="str">
        <f t="shared" si="35"/>
        <v/>
      </c>
      <c r="L103" s="191" t="str">
        <f t="shared" si="36"/>
        <v/>
      </c>
      <c r="M103" s="191" t="str">
        <f t="shared" si="37"/>
        <v/>
      </c>
      <c r="N103" s="21" t="str">
        <f t="shared" si="38"/>
        <v/>
      </c>
      <c r="O103" s="21" t="str">
        <f t="shared" si="39"/>
        <v/>
      </c>
      <c r="P103" s="21" t="str">
        <f t="shared" si="40"/>
        <v/>
      </c>
      <c r="Q103" s="195" t="str">
        <f t="shared" si="41"/>
        <v/>
      </c>
      <c r="R103" s="22" t="str">
        <f t="shared" si="42"/>
        <v/>
      </c>
      <c r="S103" s="22" t="str">
        <f t="shared" si="43"/>
        <v/>
      </c>
      <c r="T103" s="193" t="str">
        <f t="shared" si="44"/>
        <v/>
      </c>
      <c r="V103" s="25" t="e">
        <f t="shared" si="49"/>
        <v>#VALUE!</v>
      </c>
      <c r="W103" s="194" t="e">
        <f t="shared" si="47"/>
        <v>#VALUE!</v>
      </c>
      <c r="X103" s="21" t="e">
        <f t="shared" ca="1" si="50"/>
        <v>#VALUE!</v>
      </c>
      <c r="Y103" s="21" t="e">
        <f t="shared" ca="1" si="51"/>
        <v>#VALUE!</v>
      </c>
      <c r="Z103" s="26" t="e">
        <f t="shared" ca="1" si="52"/>
        <v>#VALUE!</v>
      </c>
      <c r="AA103" s="21">
        <f t="shared" ca="1" si="48"/>
        <v>4.2082369971279095E-3</v>
      </c>
      <c r="AB103" s="21" t="e">
        <f t="shared" ca="1" si="53"/>
        <v>#VALUE!</v>
      </c>
    </row>
    <row r="105" spans="1:28" x14ac:dyDescent="0.2">
      <c r="J105" s="13">
        <f>SUM(J32:J104)</f>
        <v>39444.643214285708</v>
      </c>
    </row>
    <row r="106" spans="1:28" x14ac:dyDescent="0.2">
      <c r="J106" s="206">
        <f>+J105-G5</f>
        <v>6394.6432142857084</v>
      </c>
    </row>
  </sheetData>
  <mergeCells count="1">
    <mergeCell ref="C2:S2"/>
  </mergeCells>
  <conditionalFormatting sqref="T32">
    <cfRule type="cellIs" dxfId="3" priority="3" operator="greaterThan">
      <formula>0</formula>
    </cfRule>
  </conditionalFormatting>
  <conditionalFormatting sqref="T32:T103">
    <cfRule type="cellIs" dxfId="2" priority="1" operator="greaterThan">
      <formula>0</formula>
    </cfRule>
  </conditionalFormatting>
  <pageMargins left="0.75" right="0.75" top="1" bottom="1" header="0" footer="0"/>
  <pageSetup paperSize="9" orientation="portrait" r:id="rId1"/>
  <headerFooter alignWithMargins="0">
    <oddFooter>&amp;C_x000D_&amp;1#&amp;"Calibri"&amp;8&amp;K000000 Información Interna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0A05-8AC2-4030-879B-8D7DB14FE51E}">
  <sheetPr codeName="Hoja6">
    <tabColor rgb="FF0070C0"/>
  </sheetPr>
  <dimension ref="A1:H99"/>
  <sheetViews>
    <sheetView topLeftCell="A75" zoomScaleNormal="100" workbookViewId="0">
      <selection activeCell="C10" sqref="C10"/>
    </sheetView>
  </sheetViews>
  <sheetFormatPr baseColWidth="10" defaultColWidth="22.33203125" defaultRowHeight="13.2" x14ac:dyDescent="0.25"/>
  <cols>
    <col min="1" max="1" width="12.44140625" style="2" bestFit="1" customWidth="1"/>
    <col min="2" max="2" width="12.44140625" style="2" customWidth="1"/>
    <col min="3" max="3" width="12.33203125" style="2" bestFit="1" customWidth="1"/>
    <col min="4" max="4" width="5.5546875" style="2" bestFit="1" customWidth="1"/>
    <col min="5" max="5" width="22" style="2" bestFit="1" customWidth="1"/>
    <col min="6" max="6" width="12.44140625" style="2" bestFit="1" customWidth="1"/>
    <col min="7" max="7" width="13.5546875" style="2" bestFit="1" customWidth="1"/>
    <col min="8" max="8" width="9.6640625" style="2" customWidth="1"/>
    <col min="9" max="16384" width="22.33203125" style="2"/>
  </cols>
  <sheetData>
    <row r="1" spans="1:8" x14ac:dyDescent="0.25">
      <c r="A1" s="323" t="s">
        <v>12</v>
      </c>
      <c r="B1" s="324"/>
      <c r="C1" s="324"/>
      <c r="D1" s="324"/>
      <c r="E1" s="325"/>
      <c r="F1" s="325"/>
      <c r="G1" s="325"/>
    </row>
    <row r="2" spans="1:8" ht="13.8" thickBot="1" x14ac:dyDescent="0.3"/>
    <row r="3" spans="1:8" s="253" customFormat="1" x14ac:dyDescent="0.25">
      <c r="A3" s="252" t="s">
        <v>13</v>
      </c>
      <c r="B3" s="252" t="s">
        <v>65</v>
      </c>
      <c r="C3" s="252" t="s">
        <v>14</v>
      </c>
      <c r="D3" s="252" t="s">
        <v>15</v>
      </c>
      <c r="E3" s="252" t="s">
        <v>16</v>
      </c>
      <c r="F3" s="252" t="s">
        <v>17</v>
      </c>
      <c r="G3" s="252" t="s">
        <v>18</v>
      </c>
      <c r="H3" s="252" t="s">
        <v>112</v>
      </c>
    </row>
    <row r="4" spans="1:8" x14ac:dyDescent="0.25">
      <c r="A4" s="207">
        <v>1</v>
      </c>
      <c r="B4" s="208">
        <f>IF(E4&lt;&gt;"C",IF(ISERROR(1+B3)=TRUE,1,1+B3),IF(ISNUMBER(B3),B3,0))</f>
        <v>0</v>
      </c>
      <c r="C4" s="209">
        <f>'Simulador Original'!P7</f>
        <v>44727</v>
      </c>
      <c r="D4" s="207">
        <f t="shared" ref="D4:D67" si="0">MONTH(C4)</f>
        <v>6</v>
      </c>
      <c r="E4" s="207" t="str">
        <f>IF(ISERROR(MATCH(D4,'Simulador Original'!$G$16:$G$17,0))=FALSE,"C",IF(ISERROR(MATCH(D4,'Simulador Original'!$G$18:$G$19,0))=FALSE,"D",""))</f>
        <v>C</v>
      </c>
      <c r="F4" s="210">
        <f>IF(E4="C",0,IF(E4 ="D",ROUND(1/((1+'Simulador Original'!$P$13)^A4),9) * 2,ROUND(1/((1+'Simulador Original'!$P$13)^A4),9)))</f>
        <v>0</v>
      </c>
      <c r="G4" s="210">
        <f>ROUND(F4,9)</f>
        <v>0</v>
      </c>
      <c r="H4" s="139">
        <f>+COUNTIF($E$4:E4,"C")</f>
        <v>1</v>
      </c>
    </row>
    <row r="5" spans="1:8" x14ac:dyDescent="0.25">
      <c r="A5" s="207">
        <f t="shared" ref="A5:A68" si="1">A4+1</f>
        <v>2</v>
      </c>
      <c r="B5" s="207">
        <f t="shared" ref="B5:B68" si="2">IF(E5&lt;&gt;"C",IF(ISERROR(1+B4)=TRUE,1,1+B4),IF(ISNUMBER(B4),B4,1))</f>
        <v>1</v>
      </c>
      <c r="C5" s="209">
        <f t="shared" ref="C5:C68" si="3">DATE(YEAR(C4) + 1/12,MONTH(C4)+1,DAY(C4))</f>
        <v>44757</v>
      </c>
      <c r="D5" s="207">
        <f t="shared" si="0"/>
        <v>7</v>
      </c>
      <c r="E5" s="207" t="str">
        <f>IF(ISERROR(MATCH(D5,'Simulador Original'!$G$16:$G$17,0))=FALSE,"C",IF(ISERROR(MATCH(D5,'Simulador Original'!$G$18:$G$19,0))=FALSE,"D",""))</f>
        <v/>
      </c>
      <c r="F5" s="210">
        <f>IF(E5="C",0,IF(E5 ="D",ROUND(1/((1+'Simulador Original'!$P$13)^A5),9) * 2,ROUND(1/((1+'Simulador Original'!$P$13)^A5),9)))</f>
        <v>0.97466345300000001</v>
      </c>
      <c r="G5" s="210">
        <f>G4+ROUND(F5,9)</f>
        <v>0.97466345300000001</v>
      </c>
      <c r="H5" s="139">
        <f>+COUNTIF($E$4:E5,"C")</f>
        <v>1</v>
      </c>
    </row>
    <row r="6" spans="1:8" x14ac:dyDescent="0.25">
      <c r="A6" s="207">
        <f t="shared" si="1"/>
        <v>3</v>
      </c>
      <c r="B6" s="207">
        <f t="shared" si="2"/>
        <v>2</v>
      </c>
      <c r="C6" s="209">
        <f t="shared" si="3"/>
        <v>44788</v>
      </c>
      <c r="D6" s="207">
        <f t="shared" si="0"/>
        <v>8</v>
      </c>
      <c r="E6" s="207" t="str">
        <f>IF(ISERROR(MATCH(D6,'Simulador Original'!$G$16:$G$17,0))=FALSE,"C",IF(ISERROR(MATCH(D6,'Simulador Original'!$G$18:$G$19,0))=FALSE,"D",""))</f>
        <v/>
      </c>
      <c r="F6" s="210">
        <f>IF(E6="C",0,IF(E6 ="D",ROUND(1/((1+'Simulador Original'!$P$13)^A6),9) * 2,ROUND(1/((1+'Simulador Original'!$P$13)^A6),9)))</f>
        <v>0.96223693300000002</v>
      </c>
      <c r="G6" s="210">
        <f t="shared" ref="G6:G69" si="4">G5+ROUND(F6,9)</f>
        <v>1.936900386</v>
      </c>
      <c r="H6" s="139">
        <f>+COUNTIF($E$4:E6,"C")</f>
        <v>1</v>
      </c>
    </row>
    <row r="7" spans="1:8" x14ac:dyDescent="0.25">
      <c r="A7" s="207">
        <f t="shared" si="1"/>
        <v>4</v>
      </c>
      <c r="B7" s="207">
        <f t="shared" si="2"/>
        <v>3</v>
      </c>
      <c r="C7" s="209">
        <f t="shared" si="3"/>
        <v>44819</v>
      </c>
      <c r="D7" s="207">
        <f t="shared" si="0"/>
        <v>9</v>
      </c>
      <c r="E7" s="207" t="str">
        <f>IF(ISERROR(MATCH(D7,'Simulador Original'!$G$16:$G$17,0))=FALSE,"C",IF(ISERROR(MATCH(D7,'Simulador Original'!$G$18:$G$19,0))=FALSE,"D",""))</f>
        <v/>
      </c>
      <c r="F7" s="210">
        <f>IF(E7="C",0,IF(E7 ="D",ROUND(1/((1+'Simulador Original'!$P$13)^A7),9) * 2,ROUND(1/((1+'Simulador Original'!$P$13)^A7),9)))</f>
        <v>0.94996884599999998</v>
      </c>
      <c r="G7" s="210">
        <f t="shared" si="4"/>
        <v>2.886869232</v>
      </c>
      <c r="H7" s="139">
        <f>+COUNTIF($E$4:E7,"C")</f>
        <v>1</v>
      </c>
    </row>
    <row r="8" spans="1:8" x14ac:dyDescent="0.25">
      <c r="A8" s="207">
        <f t="shared" si="1"/>
        <v>5</v>
      </c>
      <c r="B8" s="207">
        <f t="shared" si="2"/>
        <v>4</v>
      </c>
      <c r="C8" s="209">
        <f t="shared" si="3"/>
        <v>44849</v>
      </c>
      <c r="D8" s="207">
        <f t="shared" si="0"/>
        <v>10</v>
      </c>
      <c r="E8" s="207" t="str">
        <f>IF(ISERROR(MATCH(D8,'Simulador Original'!$G$16:$G$17,0))=FALSE,"C",IF(ISERROR(MATCH(D8,'Simulador Original'!$G$18:$G$19,0))=FALSE,"D",""))</f>
        <v/>
      </c>
      <c r="F8" s="210">
        <f>IF(E8="C",0,IF(E8 ="D",ROUND(1/((1+'Simulador Original'!$P$13)^A8),9) * 2,ROUND(1/((1+'Simulador Original'!$P$13)^A8),9)))</f>
        <v>0.93785717199999996</v>
      </c>
      <c r="G8" s="210">
        <f t="shared" si="4"/>
        <v>3.8247264039999997</v>
      </c>
      <c r="H8" s="139">
        <f>+COUNTIF($E$4:E8,"C")</f>
        <v>1</v>
      </c>
    </row>
    <row r="9" spans="1:8" x14ac:dyDescent="0.25">
      <c r="A9" s="207">
        <f t="shared" si="1"/>
        <v>6</v>
      </c>
      <c r="B9" s="207">
        <f t="shared" si="2"/>
        <v>5</v>
      </c>
      <c r="C9" s="209">
        <f t="shared" si="3"/>
        <v>44880</v>
      </c>
      <c r="D9" s="207">
        <f t="shared" si="0"/>
        <v>11</v>
      </c>
      <c r="E9" s="207" t="str">
        <f>IF(ISERROR(MATCH(D9,'Simulador Original'!$G$16:$G$17,0))=FALSE,"C",IF(ISERROR(MATCH(D9,'Simulador Original'!$G$18:$G$19,0))=FALSE,"D",""))</f>
        <v/>
      </c>
      <c r="F9" s="210">
        <f>IF(E9="C",0,IF(E9 ="D",ROUND(1/((1+'Simulador Original'!$P$13)^A9),9) * 2,ROUND(1/((1+'Simulador Original'!$P$13)^A9),9)))</f>
        <v>0.92589991599999999</v>
      </c>
      <c r="G9" s="210">
        <f t="shared" si="4"/>
        <v>4.7506263199999994</v>
      </c>
      <c r="H9" s="139">
        <f>+COUNTIF($E$4:E9,"C")</f>
        <v>1</v>
      </c>
    </row>
    <row r="10" spans="1:8" x14ac:dyDescent="0.25">
      <c r="A10" s="207">
        <f t="shared" si="1"/>
        <v>7</v>
      </c>
      <c r="B10" s="207">
        <f t="shared" si="2"/>
        <v>6</v>
      </c>
      <c r="C10" s="209">
        <f t="shared" si="3"/>
        <v>44910</v>
      </c>
      <c r="D10" s="207">
        <f t="shared" si="0"/>
        <v>12</v>
      </c>
      <c r="E10" s="207" t="str">
        <f>IF(ISERROR(MATCH(D10,'Simulador Original'!$G$16:$G$17,0))=FALSE,"C",IF(ISERROR(MATCH(D10,'Simulador Original'!$G$18:$G$19,0))=FALSE,"D",""))</f>
        <v/>
      </c>
      <c r="F10" s="210">
        <f>IF(E10="C",0,IF(E10 ="D",ROUND(1/((1+'Simulador Original'!$P$13)^A10),9) * 2,ROUND(1/((1+'Simulador Original'!$P$13)^A10),9)))</f>
        <v>0.91409510900000002</v>
      </c>
      <c r="G10" s="210">
        <f t="shared" si="4"/>
        <v>5.6647214289999992</v>
      </c>
      <c r="H10" s="139">
        <f>+COUNTIF($E$4:E10,"C")</f>
        <v>1</v>
      </c>
    </row>
    <row r="11" spans="1:8" x14ac:dyDescent="0.25">
      <c r="A11" s="207">
        <f t="shared" si="1"/>
        <v>8</v>
      </c>
      <c r="B11" s="207">
        <f t="shared" si="2"/>
        <v>6</v>
      </c>
      <c r="C11" s="209">
        <f t="shared" si="3"/>
        <v>44941</v>
      </c>
      <c r="D11" s="207">
        <f t="shared" si="0"/>
        <v>1</v>
      </c>
      <c r="E11" s="207" t="str">
        <f>IF(ISERROR(MATCH(D11,'Simulador Original'!$G$16:$G$17,0))=FALSE,"C",IF(ISERROR(MATCH(D11,'Simulador Original'!$G$18:$G$19,0))=FALSE,"D",""))</f>
        <v>C</v>
      </c>
      <c r="F11" s="210">
        <f>IF(E11="C",0,IF(E11 ="D",ROUND(1/((1+'Simulador Original'!$P$13)^A11),9) * 2,ROUND(1/((1+'Simulador Original'!$P$13)^A11),9)))</f>
        <v>0</v>
      </c>
      <c r="G11" s="210">
        <f t="shared" si="4"/>
        <v>5.6647214289999992</v>
      </c>
      <c r="H11" s="139">
        <f>+COUNTIF($E$4:E11,"C")</f>
        <v>2</v>
      </c>
    </row>
    <row r="12" spans="1:8" x14ac:dyDescent="0.25">
      <c r="A12" s="207">
        <f t="shared" si="1"/>
        <v>9</v>
      </c>
      <c r="B12" s="207">
        <f t="shared" si="2"/>
        <v>7</v>
      </c>
      <c r="C12" s="209">
        <f t="shared" si="3"/>
        <v>44972</v>
      </c>
      <c r="D12" s="207">
        <f t="shared" si="0"/>
        <v>2</v>
      </c>
      <c r="E12" s="207" t="str">
        <f>IF(ISERROR(MATCH(D12,'Simulador Original'!$G$16:$G$17,0))=FALSE,"C",IF(ISERROR(MATCH(D12,'Simulador Original'!$G$18:$G$19,0))=FALSE,"D",""))</f>
        <v/>
      </c>
      <c r="F12" s="210">
        <f>IF(E12="C",0,IF(E12 ="D",ROUND(1/((1+'Simulador Original'!$P$13)^A12),9) * 2,ROUND(1/((1+'Simulador Original'!$P$13)^A12),9)))</f>
        <v>0.89093509500000001</v>
      </c>
      <c r="G12" s="210">
        <f t="shared" si="4"/>
        <v>6.5556565239999989</v>
      </c>
      <c r="H12" s="139">
        <f>+COUNTIF($E$4:E12,"C")</f>
        <v>2</v>
      </c>
    </row>
    <row r="13" spans="1:8" x14ac:dyDescent="0.25">
      <c r="A13" s="207">
        <f t="shared" si="1"/>
        <v>10</v>
      </c>
      <c r="B13" s="207">
        <f t="shared" si="2"/>
        <v>8</v>
      </c>
      <c r="C13" s="209">
        <f t="shared" si="3"/>
        <v>45000</v>
      </c>
      <c r="D13" s="207">
        <f t="shared" si="0"/>
        <v>3</v>
      </c>
      <c r="E13" s="207" t="str">
        <f>IF(ISERROR(MATCH(D13,'Simulador Original'!$G$16:$G$17,0))=FALSE,"C",IF(ISERROR(MATCH(D13,'Simulador Original'!$G$18:$G$19,0))=FALSE,"D",""))</f>
        <v/>
      </c>
      <c r="F13" s="210">
        <f>IF(E13="C",0,IF(E13 ="D",ROUND(1/((1+'Simulador Original'!$P$13)^A13),9) * 2,ROUND(1/((1+'Simulador Original'!$P$13)^A13),9)))</f>
        <v>0.87957607400000004</v>
      </c>
      <c r="G13" s="210">
        <f t="shared" si="4"/>
        <v>7.4352325979999989</v>
      </c>
      <c r="H13" s="139">
        <f>+COUNTIF($E$4:E13,"C")</f>
        <v>2</v>
      </c>
    </row>
    <row r="14" spans="1:8" x14ac:dyDescent="0.25">
      <c r="A14" s="207">
        <f t="shared" si="1"/>
        <v>11</v>
      </c>
      <c r="B14" s="207">
        <f t="shared" si="2"/>
        <v>9</v>
      </c>
      <c r="C14" s="209">
        <f t="shared" si="3"/>
        <v>45031</v>
      </c>
      <c r="D14" s="207">
        <f t="shared" si="0"/>
        <v>4</v>
      </c>
      <c r="E14" s="207" t="str">
        <f>IF(ISERROR(MATCH(D14,'Simulador Original'!$G$16:$G$17,0))=FALSE,"C",IF(ISERROR(MATCH(D14,'Simulador Original'!$G$18:$G$19,0))=FALSE,"D",""))</f>
        <v/>
      </c>
      <c r="F14" s="210">
        <f>IF(E14="C",0,IF(E14 ="D",ROUND(1/((1+'Simulador Original'!$P$13)^A14),9) * 2,ROUND(1/((1+'Simulador Original'!$P$13)^A14),9)))</f>
        <v>0.86836187600000003</v>
      </c>
      <c r="G14" s="210">
        <f t="shared" si="4"/>
        <v>8.3035944739999987</v>
      </c>
      <c r="H14" s="139">
        <f>+COUNTIF($E$4:E14,"C")</f>
        <v>2</v>
      </c>
    </row>
    <row r="15" spans="1:8" x14ac:dyDescent="0.25">
      <c r="A15" s="207">
        <f t="shared" si="1"/>
        <v>12</v>
      </c>
      <c r="B15" s="207">
        <f t="shared" si="2"/>
        <v>10</v>
      </c>
      <c r="C15" s="209">
        <f t="shared" si="3"/>
        <v>45061</v>
      </c>
      <c r="D15" s="207">
        <f t="shared" si="0"/>
        <v>5</v>
      </c>
      <c r="E15" s="207" t="str">
        <f>IF(ISERROR(MATCH(D15,'Simulador Original'!$G$16:$G$17,0))=FALSE,"C",IF(ISERROR(MATCH(D15,'Simulador Original'!$G$18:$G$19,0))=FALSE,"D",""))</f>
        <v/>
      </c>
      <c r="F15" s="210">
        <f>IF(E15="C",0,IF(E15 ="D",ROUND(1/((1+'Simulador Original'!$P$13)^A15),9) * 2,ROUND(1/((1+'Simulador Original'!$P$13)^A15),9)))</f>
        <v>0.85729065400000004</v>
      </c>
      <c r="G15" s="210">
        <f t="shared" si="4"/>
        <v>9.1608851279999985</v>
      </c>
      <c r="H15" s="139">
        <f>+COUNTIF($E$4:E15,"C")</f>
        <v>2</v>
      </c>
    </row>
    <row r="16" spans="1:8" x14ac:dyDescent="0.25">
      <c r="A16" s="207">
        <f t="shared" si="1"/>
        <v>13</v>
      </c>
      <c r="B16" s="207">
        <f t="shared" si="2"/>
        <v>10</v>
      </c>
      <c r="C16" s="209">
        <f t="shared" si="3"/>
        <v>45092</v>
      </c>
      <c r="D16" s="207">
        <f t="shared" si="0"/>
        <v>6</v>
      </c>
      <c r="E16" s="207" t="str">
        <f>IF(ISERROR(MATCH(D16,'Simulador Original'!$G$16:$G$17,0))=FALSE,"C",IF(ISERROR(MATCH(D16,'Simulador Original'!$G$18:$G$19,0))=FALSE,"D",""))</f>
        <v>C</v>
      </c>
      <c r="F16" s="210">
        <f>IF(E16="C",0,IF(E16 ="D",ROUND(1/((1+'Simulador Original'!$P$13)^A16),9) * 2,ROUND(1/((1+'Simulador Original'!$P$13)^A16),9)))</f>
        <v>0</v>
      </c>
      <c r="G16" s="210">
        <f t="shared" si="4"/>
        <v>9.1608851279999985</v>
      </c>
      <c r="H16" s="139">
        <f>+COUNTIF($E$4:E16,"C")</f>
        <v>3</v>
      </c>
    </row>
    <row r="17" spans="1:8" x14ac:dyDescent="0.25">
      <c r="A17" s="207">
        <f t="shared" si="1"/>
        <v>14</v>
      </c>
      <c r="B17" s="207">
        <f t="shared" si="2"/>
        <v>11</v>
      </c>
      <c r="C17" s="209">
        <f t="shared" si="3"/>
        <v>45122</v>
      </c>
      <c r="D17" s="207">
        <f t="shared" si="0"/>
        <v>7</v>
      </c>
      <c r="E17" s="207" t="str">
        <f>IF(ISERROR(MATCH(D17,'Simulador Original'!$G$16:$G$17,0))=FALSE,"C",IF(ISERROR(MATCH(D17,'Simulador Original'!$G$18:$G$19,0))=FALSE,"D",""))</f>
        <v/>
      </c>
      <c r="F17" s="210">
        <f>IF(E17="C",0,IF(E17 ="D",ROUND(1/((1+'Simulador Original'!$P$13)^A17),9) * 2,ROUND(1/((1+'Simulador Original'!$P$13)^A17),9)))</f>
        <v>0.83556986799999999</v>
      </c>
      <c r="G17" s="210">
        <f t="shared" si="4"/>
        <v>9.9964549959999989</v>
      </c>
      <c r="H17" s="139">
        <f>+COUNTIF($E$4:E17,"C")</f>
        <v>3</v>
      </c>
    </row>
    <row r="18" spans="1:8" x14ac:dyDescent="0.25">
      <c r="A18" s="207">
        <f t="shared" si="1"/>
        <v>15</v>
      </c>
      <c r="B18" s="207">
        <f t="shared" si="2"/>
        <v>12</v>
      </c>
      <c r="C18" s="209">
        <f t="shared" si="3"/>
        <v>45153</v>
      </c>
      <c r="D18" s="207">
        <f t="shared" si="0"/>
        <v>8</v>
      </c>
      <c r="E18" s="207" t="str">
        <f>IF(ISERROR(MATCH(D18,'Simulador Original'!$G$16:$G$17,0))=FALSE,"C",IF(ISERROR(MATCH(D18,'Simulador Original'!$G$18:$G$19,0))=FALSE,"D",""))</f>
        <v/>
      </c>
      <c r="F18" s="210">
        <f>IF(E18="C",0,IF(E18 ="D",ROUND(1/((1+'Simulador Original'!$P$13)^A18),9) * 2,ROUND(1/((1+'Simulador Original'!$P$13)^A18),9)))</f>
        <v>0.82491672900000002</v>
      </c>
      <c r="G18" s="210">
        <f t="shared" si="4"/>
        <v>10.821371724999999</v>
      </c>
      <c r="H18" s="139">
        <f>+COUNTIF($E$4:E18,"C")</f>
        <v>3</v>
      </c>
    </row>
    <row r="19" spans="1:8" x14ac:dyDescent="0.25">
      <c r="A19" s="207">
        <f t="shared" si="1"/>
        <v>16</v>
      </c>
      <c r="B19" s="207">
        <f t="shared" si="2"/>
        <v>13</v>
      </c>
      <c r="C19" s="209">
        <f t="shared" si="3"/>
        <v>45184</v>
      </c>
      <c r="D19" s="207">
        <f t="shared" si="0"/>
        <v>9</v>
      </c>
      <c r="E19" s="207" t="str">
        <f>IF(ISERROR(MATCH(D19,'Simulador Original'!$G$16:$G$17,0))=FALSE,"C",IF(ISERROR(MATCH(D19,'Simulador Original'!$G$18:$G$19,0))=FALSE,"D",""))</f>
        <v/>
      </c>
      <c r="F19" s="210">
        <f>IF(E19="C",0,IF(E19 ="D",ROUND(1/((1+'Simulador Original'!$P$13)^A19),9) * 2,ROUND(1/((1+'Simulador Original'!$P$13)^A19),9)))</f>
        <v>0.81439941299999996</v>
      </c>
      <c r="G19" s="210">
        <f t="shared" si="4"/>
        <v>11.635771137999999</v>
      </c>
      <c r="H19" s="139">
        <f>+COUNTIF($E$4:E19,"C")</f>
        <v>3</v>
      </c>
    </row>
    <row r="20" spans="1:8" x14ac:dyDescent="0.25">
      <c r="A20" s="207">
        <f t="shared" si="1"/>
        <v>17</v>
      </c>
      <c r="B20" s="207">
        <f t="shared" si="2"/>
        <v>14</v>
      </c>
      <c r="C20" s="209">
        <f t="shared" si="3"/>
        <v>45214</v>
      </c>
      <c r="D20" s="207">
        <f t="shared" si="0"/>
        <v>10</v>
      </c>
      <c r="E20" s="207" t="str">
        <f>IF(ISERROR(MATCH(D20,'Simulador Original'!$G$16:$G$17,0))=FALSE,"C",IF(ISERROR(MATCH(D20,'Simulador Original'!$G$18:$G$19,0))=FALSE,"D",""))</f>
        <v/>
      </c>
      <c r="F20" s="210">
        <f>IF(E20="C",0,IF(E20 ="D",ROUND(1/((1+'Simulador Original'!$P$13)^A20),9) * 2,ROUND(1/((1+'Simulador Original'!$P$13)^A20),9)))</f>
        <v>0.80401618799999997</v>
      </c>
      <c r="G20" s="210">
        <f t="shared" si="4"/>
        <v>12.439787325999999</v>
      </c>
      <c r="H20" s="139">
        <f>+COUNTIF($E$4:E20,"C")</f>
        <v>3</v>
      </c>
    </row>
    <row r="21" spans="1:8" x14ac:dyDescent="0.25">
      <c r="A21" s="207">
        <f t="shared" si="1"/>
        <v>18</v>
      </c>
      <c r="B21" s="207">
        <f t="shared" si="2"/>
        <v>15</v>
      </c>
      <c r="C21" s="209">
        <f t="shared" si="3"/>
        <v>45245</v>
      </c>
      <c r="D21" s="207">
        <f t="shared" si="0"/>
        <v>11</v>
      </c>
      <c r="E21" s="207" t="str">
        <f>IF(ISERROR(MATCH(D21,'Simulador Original'!$G$16:$G$17,0))=FALSE,"C",IF(ISERROR(MATCH(D21,'Simulador Original'!$G$18:$G$19,0))=FALSE,"D",""))</f>
        <v/>
      </c>
      <c r="F21" s="210">
        <f>IF(E21="C",0,IF(E21 ="D",ROUND(1/((1+'Simulador Original'!$P$13)^A21),9) * 2,ROUND(1/((1+'Simulador Original'!$P$13)^A21),9)))</f>
        <v>0.79376534399999998</v>
      </c>
      <c r="G21" s="210">
        <f t="shared" si="4"/>
        <v>13.23355267</v>
      </c>
      <c r="H21" s="139">
        <f>+COUNTIF($E$4:E21,"C")</f>
        <v>3</v>
      </c>
    </row>
    <row r="22" spans="1:8" x14ac:dyDescent="0.25">
      <c r="A22" s="207">
        <f t="shared" si="1"/>
        <v>19</v>
      </c>
      <c r="B22" s="207">
        <f t="shared" si="2"/>
        <v>16</v>
      </c>
      <c r="C22" s="209">
        <f t="shared" si="3"/>
        <v>45275</v>
      </c>
      <c r="D22" s="207">
        <f t="shared" si="0"/>
        <v>12</v>
      </c>
      <c r="E22" s="207" t="str">
        <f>IF(ISERROR(MATCH(D22,'Simulador Original'!$G$16:$G$17,0))=FALSE,"C",IF(ISERROR(MATCH(D22,'Simulador Original'!$G$18:$G$19,0))=FALSE,"D",""))</f>
        <v/>
      </c>
      <c r="F22" s="210">
        <f>IF(E22="C",0,IF(E22 ="D",ROUND(1/((1+'Simulador Original'!$P$13)^A22),9) * 2,ROUND(1/((1+'Simulador Original'!$P$13)^A22),9)))</f>
        <v>0.78364519300000002</v>
      </c>
      <c r="G22" s="210">
        <f t="shared" si="4"/>
        <v>14.017197863</v>
      </c>
      <c r="H22" s="139">
        <f>+COUNTIF($E$4:E22,"C")</f>
        <v>3</v>
      </c>
    </row>
    <row r="23" spans="1:8" x14ac:dyDescent="0.25">
      <c r="A23" s="207">
        <f t="shared" si="1"/>
        <v>20</v>
      </c>
      <c r="B23" s="207">
        <f t="shared" si="2"/>
        <v>16</v>
      </c>
      <c r="C23" s="209">
        <f t="shared" si="3"/>
        <v>45306</v>
      </c>
      <c r="D23" s="207">
        <f t="shared" si="0"/>
        <v>1</v>
      </c>
      <c r="E23" s="207" t="str">
        <f>IF(ISERROR(MATCH(D23,'Simulador Original'!$G$16:$G$17,0))=FALSE,"C",IF(ISERROR(MATCH(D23,'Simulador Original'!$G$18:$G$19,0))=FALSE,"D",""))</f>
        <v>C</v>
      </c>
      <c r="F23" s="210">
        <f>IF(E23="C",0,IF(E23 ="D",ROUND(1/((1+'Simulador Original'!$P$13)^A23),9) * 2,ROUND(1/((1+'Simulador Original'!$P$13)^A23),9)))</f>
        <v>0</v>
      </c>
      <c r="G23" s="210">
        <f t="shared" si="4"/>
        <v>14.017197863</v>
      </c>
      <c r="H23" s="139">
        <f>+COUNTIF($E$4:E23,"C")</f>
        <v>4</v>
      </c>
    </row>
    <row r="24" spans="1:8" x14ac:dyDescent="0.25">
      <c r="A24" s="207">
        <f t="shared" si="1"/>
        <v>21</v>
      </c>
      <c r="B24" s="207">
        <f t="shared" si="2"/>
        <v>17</v>
      </c>
      <c r="C24" s="209">
        <f t="shared" si="3"/>
        <v>45337</v>
      </c>
      <c r="D24" s="207">
        <f t="shared" si="0"/>
        <v>2</v>
      </c>
      <c r="E24" s="207" t="str">
        <f>IF(ISERROR(MATCH(D24,'Simulador Original'!$G$16:$G$17,0))=FALSE,"C",IF(ISERROR(MATCH(D24,'Simulador Original'!$G$18:$G$19,0))=FALSE,"D",""))</f>
        <v/>
      </c>
      <c r="F24" s="210">
        <f>IF(E24="C",0,IF(E24 ="D",ROUND(1/((1+'Simulador Original'!$P$13)^A24),9) * 2,ROUND(1/((1+'Simulador Original'!$P$13)^A24),9)))</f>
        <v>0.76379032999999996</v>
      </c>
      <c r="G24" s="210">
        <f t="shared" si="4"/>
        <v>14.780988192999999</v>
      </c>
      <c r="H24" s="139">
        <f>+COUNTIF($E$4:E24,"C")</f>
        <v>4</v>
      </c>
    </row>
    <row r="25" spans="1:8" x14ac:dyDescent="0.25">
      <c r="A25" s="207">
        <f t="shared" si="1"/>
        <v>22</v>
      </c>
      <c r="B25" s="207">
        <f t="shared" si="2"/>
        <v>18</v>
      </c>
      <c r="C25" s="209">
        <f t="shared" si="3"/>
        <v>45366</v>
      </c>
      <c r="D25" s="207">
        <f t="shared" si="0"/>
        <v>3</v>
      </c>
      <c r="E25" s="207" t="str">
        <f>IF(ISERROR(MATCH(D25,'Simulador Original'!$G$16:$G$17,0))=FALSE,"C",IF(ISERROR(MATCH(D25,'Simulador Original'!$G$18:$G$19,0))=FALSE,"D",""))</f>
        <v/>
      </c>
      <c r="F25" s="210">
        <f>IF(E25="C",0,IF(E25 ="D",ROUND(1/((1+'Simulador Original'!$P$13)^A25),9) * 2,ROUND(1/((1+'Simulador Original'!$P$13)^A25),9)))</f>
        <v>0.75405234799999998</v>
      </c>
      <c r="G25" s="210">
        <f t="shared" si="4"/>
        <v>15.535040540999999</v>
      </c>
      <c r="H25" s="139">
        <f>+COUNTIF($E$4:E25,"C")</f>
        <v>4</v>
      </c>
    </row>
    <row r="26" spans="1:8" x14ac:dyDescent="0.25">
      <c r="A26" s="207">
        <f t="shared" si="1"/>
        <v>23</v>
      </c>
      <c r="B26" s="207">
        <f t="shared" si="2"/>
        <v>19</v>
      </c>
      <c r="C26" s="209">
        <f t="shared" si="3"/>
        <v>45397</v>
      </c>
      <c r="D26" s="207">
        <f t="shared" si="0"/>
        <v>4</v>
      </c>
      <c r="E26" s="207" t="str">
        <f>IF(ISERROR(MATCH(D26,'Simulador Original'!$G$16:$G$17,0))=FALSE,"C",IF(ISERROR(MATCH(D26,'Simulador Original'!$G$18:$G$19,0))=FALSE,"D",""))</f>
        <v/>
      </c>
      <c r="F26" s="210">
        <f>IF(E26="C",0,IF(E26 ="D",ROUND(1/((1+'Simulador Original'!$P$13)^A26),9) * 2,ROUND(1/((1+'Simulador Original'!$P$13)^A26),9)))</f>
        <v>0.74443851999999999</v>
      </c>
      <c r="G26" s="210">
        <f t="shared" si="4"/>
        <v>16.279479061</v>
      </c>
      <c r="H26" s="139">
        <f>+COUNTIF($E$4:E26,"C")</f>
        <v>4</v>
      </c>
    </row>
    <row r="27" spans="1:8" x14ac:dyDescent="0.25">
      <c r="A27" s="207">
        <f t="shared" si="1"/>
        <v>24</v>
      </c>
      <c r="B27" s="207">
        <f t="shared" si="2"/>
        <v>20</v>
      </c>
      <c r="C27" s="209">
        <f t="shared" si="3"/>
        <v>45427</v>
      </c>
      <c r="D27" s="207">
        <f t="shared" si="0"/>
        <v>5</v>
      </c>
      <c r="E27" s="207" t="str">
        <f>IF(ISERROR(MATCH(D27,'Simulador Original'!$G$16:$G$17,0))=FALSE,"C",IF(ISERROR(MATCH(D27,'Simulador Original'!$G$18:$G$19,0))=FALSE,"D",""))</f>
        <v/>
      </c>
      <c r="F27" s="210">
        <f>IF(E27="C",0,IF(E27 ="D",ROUND(1/((1+'Simulador Original'!$P$13)^A27),9) * 2,ROUND(1/((1+'Simulador Original'!$P$13)^A27),9)))</f>
        <v>0.73494726499999996</v>
      </c>
      <c r="G27" s="210">
        <f t="shared" si="4"/>
        <v>17.014426325999999</v>
      </c>
      <c r="H27" s="139">
        <f>+COUNTIF($E$4:E27,"C")</f>
        <v>4</v>
      </c>
    </row>
    <row r="28" spans="1:8" x14ac:dyDescent="0.25">
      <c r="A28" s="207">
        <f t="shared" si="1"/>
        <v>25</v>
      </c>
      <c r="B28" s="207">
        <f t="shared" si="2"/>
        <v>20</v>
      </c>
      <c r="C28" s="209">
        <f t="shared" si="3"/>
        <v>45458</v>
      </c>
      <c r="D28" s="207">
        <f t="shared" si="0"/>
        <v>6</v>
      </c>
      <c r="E28" s="207" t="str">
        <f>IF(ISERROR(MATCH(D28,'Simulador Original'!$G$16:$G$17,0))=FALSE,"C",IF(ISERROR(MATCH(D28,'Simulador Original'!$G$18:$G$19,0))=FALSE,"D",""))</f>
        <v>C</v>
      </c>
      <c r="F28" s="210">
        <f>IF(E28="C",0,IF(E28 ="D",ROUND(1/((1+'Simulador Original'!$P$13)^A28),9) * 2,ROUND(1/((1+'Simulador Original'!$P$13)^A28),9)))</f>
        <v>0</v>
      </c>
      <c r="G28" s="210">
        <f t="shared" si="4"/>
        <v>17.014426325999999</v>
      </c>
      <c r="H28" s="139">
        <f>+COUNTIF($E$4:E28,"C")</f>
        <v>5</v>
      </c>
    </row>
    <row r="29" spans="1:8" x14ac:dyDescent="0.25">
      <c r="A29" s="207">
        <f t="shared" si="1"/>
        <v>26</v>
      </c>
      <c r="B29" s="207">
        <f t="shared" si="2"/>
        <v>21</v>
      </c>
      <c r="C29" s="209">
        <f t="shared" si="3"/>
        <v>45488</v>
      </c>
      <c r="D29" s="207">
        <f t="shared" si="0"/>
        <v>7</v>
      </c>
      <c r="E29" s="207" t="str">
        <f>IF(ISERROR(MATCH(D29,'Simulador Original'!$G$16:$G$17,0))=FALSE,"C",IF(ISERROR(MATCH(D29,'Simulador Original'!$G$18:$G$19,0))=FALSE,"D",""))</f>
        <v/>
      </c>
      <c r="F29" s="210">
        <f>IF(E29="C",0,IF(E29 ="D",ROUND(1/((1+'Simulador Original'!$P$13)^A29),9) * 2,ROUND(1/((1+'Simulador Original'!$P$13)^A29),9)))</f>
        <v>0.71632623900000003</v>
      </c>
      <c r="G29" s="210">
        <f t="shared" si="4"/>
        <v>17.730752565</v>
      </c>
      <c r="H29" s="139">
        <f>+COUNTIF($E$4:E29,"C")</f>
        <v>5</v>
      </c>
    </row>
    <row r="30" spans="1:8" x14ac:dyDescent="0.25">
      <c r="A30" s="207">
        <f t="shared" si="1"/>
        <v>27</v>
      </c>
      <c r="B30" s="207">
        <f t="shared" si="2"/>
        <v>22</v>
      </c>
      <c r="C30" s="209">
        <f t="shared" si="3"/>
        <v>45519</v>
      </c>
      <c r="D30" s="207">
        <f t="shared" si="0"/>
        <v>8</v>
      </c>
      <c r="E30" s="207" t="str">
        <f>IF(ISERROR(MATCH(D30,'Simulador Original'!$G$16:$G$17,0))=FALSE,"C",IF(ISERROR(MATCH(D30,'Simulador Original'!$G$18:$G$19,0))=FALSE,"D",""))</f>
        <v/>
      </c>
      <c r="F30" s="210">
        <f>IF(E30="C",0,IF(E30 ="D",ROUND(1/((1+'Simulador Original'!$P$13)^A30),9) * 2,ROUND(1/((1+'Simulador Original'!$P$13)^A30),9)))</f>
        <v>0.70719340200000003</v>
      </c>
      <c r="G30" s="210">
        <f t="shared" si="4"/>
        <v>18.437945967000001</v>
      </c>
      <c r="H30" s="139">
        <f>+COUNTIF($E$4:E30,"C")</f>
        <v>5</v>
      </c>
    </row>
    <row r="31" spans="1:8" x14ac:dyDescent="0.25">
      <c r="A31" s="207">
        <f t="shared" si="1"/>
        <v>28</v>
      </c>
      <c r="B31" s="207">
        <f t="shared" si="2"/>
        <v>23</v>
      </c>
      <c r="C31" s="209">
        <f t="shared" si="3"/>
        <v>45550</v>
      </c>
      <c r="D31" s="207">
        <f t="shared" si="0"/>
        <v>9</v>
      </c>
      <c r="E31" s="207" t="str">
        <f>IF(ISERROR(MATCH(D31,'Simulador Original'!$G$16:$G$17,0))=FALSE,"C",IF(ISERROR(MATCH(D31,'Simulador Original'!$G$18:$G$19,0))=FALSE,"D",""))</f>
        <v/>
      </c>
      <c r="F31" s="210">
        <f>IF(E31="C",0,IF(E31 ="D",ROUND(1/((1+'Simulador Original'!$P$13)^A31),9) * 2,ROUND(1/((1+'Simulador Original'!$P$13)^A31),9)))</f>
        <v>0.69817700500000002</v>
      </c>
      <c r="G31" s="210">
        <f t="shared" si="4"/>
        <v>19.136122972000003</v>
      </c>
      <c r="H31" s="139">
        <f>+COUNTIF($E$4:E31,"C")</f>
        <v>5</v>
      </c>
    </row>
    <row r="32" spans="1:8" x14ac:dyDescent="0.25">
      <c r="A32" s="207">
        <f t="shared" si="1"/>
        <v>29</v>
      </c>
      <c r="B32" s="207">
        <f t="shared" si="2"/>
        <v>24</v>
      </c>
      <c r="C32" s="209">
        <f t="shared" si="3"/>
        <v>45580</v>
      </c>
      <c r="D32" s="207">
        <f t="shared" si="0"/>
        <v>10</v>
      </c>
      <c r="E32" s="207" t="str">
        <f>IF(ISERROR(MATCH(D32,'Simulador Original'!$G$16:$G$17,0))=FALSE,"C",IF(ISERROR(MATCH(D32,'Simulador Original'!$G$18:$G$19,0))=FALSE,"D",""))</f>
        <v/>
      </c>
      <c r="F32" s="210">
        <f>IF(E32="C",0,IF(E32 ="D",ROUND(1/((1+'Simulador Original'!$P$13)^A32),9) * 2,ROUND(1/((1+'Simulador Original'!$P$13)^A32),9)))</f>
        <v>0.68927556300000004</v>
      </c>
      <c r="G32" s="210">
        <f t="shared" si="4"/>
        <v>19.825398535000001</v>
      </c>
      <c r="H32" s="139">
        <f>+COUNTIF($E$4:E32,"C")</f>
        <v>5</v>
      </c>
    </row>
    <row r="33" spans="1:8" s="67" customFormat="1" x14ac:dyDescent="0.25">
      <c r="A33" s="207">
        <f t="shared" si="1"/>
        <v>30</v>
      </c>
      <c r="B33" s="207">
        <f t="shared" si="2"/>
        <v>25</v>
      </c>
      <c r="C33" s="209">
        <f t="shared" si="3"/>
        <v>45611</v>
      </c>
      <c r="D33" s="207">
        <f t="shared" si="0"/>
        <v>11</v>
      </c>
      <c r="E33" s="207" t="str">
        <f>IF(ISERROR(MATCH(D33,'Simulador Original'!$G$16:$G$17,0))=FALSE,"C",IF(ISERROR(MATCH(D33,'Simulador Original'!$G$18:$G$19,0))=FALSE,"D",""))</f>
        <v/>
      </c>
      <c r="F33" s="210">
        <f>IF(E33="C",0,IF(E33 ="D",ROUND(1/((1+'Simulador Original'!$P$13)^A33),9) * 2,ROUND(1/((1+'Simulador Original'!$P$13)^A33),9)))</f>
        <v>0.68048761000000002</v>
      </c>
      <c r="G33" s="210">
        <f t="shared" si="4"/>
        <v>20.505886145000002</v>
      </c>
      <c r="H33" s="139">
        <f>+COUNTIF($E$4:E33,"C")</f>
        <v>5</v>
      </c>
    </row>
    <row r="34" spans="1:8" x14ac:dyDescent="0.25">
      <c r="A34" s="207">
        <f t="shared" si="1"/>
        <v>31</v>
      </c>
      <c r="B34" s="207">
        <f t="shared" si="2"/>
        <v>26</v>
      </c>
      <c r="C34" s="209">
        <f t="shared" si="3"/>
        <v>45641</v>
      </c>
      <c r="D34" s="207">
        <f t="shared" si="0"/>
        <v>12</v>
      </c>
      <c r="E34" s="207" t="str">
        <f>IF(ISERROR(MATCH(D34,'Simulador Original'!$G$16:$G$17,0))=FALSE,"C",IF(ISERROR(MATCH(D34,'Simulador Original'!$G$18:$G$19,0))=FALSE,"D",""))</f>
        <v/>
      </c>
      <c r="F34" s="210">
        <f>IF(E34="C",0,IF(E34 ="D",ROUND(1/((1+'Simulador Original'!$P$13)^A34),9) * 2,ROUND(1/((1+'Simulador Original'!$P$13)^A34),9)))</f>
        <v>0.67181170000000001</v>
      </c>
      <c r="G34" s="210">
        <f t="shared" si="4"/>
        <v>21.177697845000001</v>
      </c>
      <c r="H34" s="139">
        <f>+COUNTIF($E$4:E34,"C")</f>
        <v>5</v>
      </c>
    </row>
    <row r="35" spans="1:8" x14ac:dyDescent="0.25">
      <c r="A35" s="207">
        <f t="shared" si="1"/>
        <v>32</v>
      </c>
      <c r="B35" s="207">
        <f t="shared" si="2"/>
        <v>26</v>
      </c>
      <c r="C35" s="209">
        <f t="shared" si="3"/>
        <v>45672</v>
      </c>
      <c r="D35" s="207">
        <f t="shared" si="0"/>
        <v>1</v>
      </c>
      <c r="E35" s="207" t="str">
        <f>IF(ISERROR(MATCH(D35,'Simulador Original'!$G$16:$G$17,0))=FALSE,"C",IF(ISERROR(MATCH(D35,'Simulador Original'!$G$18:$G$19,0))=FALSE,"D",""))</f>
        <v>C</v>
      </c>
      <c r="F35" s="210">
        <f>IF(E35="C",0,IF(E35 ="D",ROUND(1/((1+'Simulador Original'!$P$13)^A35),9) * 2,ROUND(1/((1+'Simulador Original'!$P$13)^A35),9)))</f>
        <v>0</v>
      </c>
      <c r="G35" s="210">
        <f t="shared" si="4"/>
        <v>21.177697845000001</v>
      </c>
      <c r="H35" s="139">
        <f>+COUNTIF($E$4:E35,"C")</f>
        <v>6</v>
      </c>
    </row>
    <row r="36" spans="1:8" x14ac:dyDescent="0.25">
      <c r="A36" s="207">
        <f t="shared" si="1"/>
        <v>33</v>
      </c>
      <c r="B36" s="207">
        <f t="shared" si="2"/>
        <v>27</v>
      </c>
      <c r="C36" s="209">
        <f t="shared" si="3"/>
        <v>45703</v>
      </c>
      <c r="D36" s="207">
        <f t="shared" si="0"/>
        <v>2</v>
      </c>
      <c r="E36" s="207" t="str">
        <f>IF(ISERROR(MATCH(D36,'Simulador Original'!$G$16:$G$17,0))=FALSE,"C",IF(ISERROR(MATCH(D36,'Simulador Original'!$G$18:$G$19,0))=FALSE,"D",""))</f>
        <v/>
      </c>
      <c r="F36" s="210">
        <f>IF(E36="C",0,IF(E36 ="D",ROUND(1/((1+'Simulador Original'!$P$13)^A36),9) * 2,ROUND(1/((1+'Simulador Original'!$P$13)^A36),9)))</f>
        <v>0.65479031099999996</v>
      </c>
      <c r="G36" s="210">
        <f t="shared" si="4"/>
        <v>21.832488156</v>
      </c>
      <c r="H36" s="139">
        <f>+COUNTIF($E$4:E36,"C")</f>
        <v>6</v>
      </c>
    </row>
    <row r="37" spans="1:8" x14ac:dyDescent="0.25">
      <c r="A37" s="207">
        <f t="shared" si="1"/>
        <v>34</v>
      </c>
      <c r="B37" s="207">
        <f t="shared" si="2"/>
        <v>28</v>
      </c>
      <c r="C37" s="209">
        <f t="shared" si="3"/>
        <v>45731</v>
      </c>
      <c r="D37" s="207">
        <f t="shared" si="0"/>
        <v>3</v>
      </c>
      <c r="E37" s="207" t="str">
        <f>IF(ISERROR(MATCH(D37,'Simulador Original'!$G$16:$G$17,0))=FALSE,"C",IF(ISERROR(MATCH(D37,'Simulador Original'!$G$18:$G$19,0))=FALSE,"D",""))</f>
        <v/>
      </c>
      <c r="F37" s="210">
        <f>IF(E37="C",0,IF(E37 ="D",ROUND(1/((1+'Simulador Original'!$P$13)^A37),9) * 2,ROUND(1/((1+'Simulador Original'!$P$13)^A37),9)))</f>
        <v>0.64644203</v>
      </c>
      <c r="G37" s="210">
        <f t="shared" si="4"/>
        <v>22.478930185999999</v>
      </c>
      <c r="H37" s="139">
        <f>+COUNTIF($E$4:E37,"C")</f>
        <v>6</v>
      </c>
    </row>
    <row r="38" spans="1:8" x14ac:dyDescent="0.25">
      <c r="A38" s="207">
        <f t="shared" si="1"/>
        <v>35</v>
      </c>
      <c r="B38" s="207">
        <f t="shared" si="2"/>
        <v>29</v>
      </c>
      <c r="C38" s="209">
        <f t="shared" si="3"/>
        <v>45762</v>
      </c>
      <c r="D38" s="207">
        <f t="shared" si="0"/>
        <v>4</v>
      </c>
      <c r="E38" s="207" t="str">
        <f>IF(ISERROR(MATCH(D38,'Simulador Original'!$G$16:$G$17,0))=FALSE,"C",IF(ISERROR(MATCH(D38,'Simulador Original'!$G$18:$G$19,0))=FALSE,"D",""))</f>
        <v/>
      </c>
      <c r="F38" s="210">
        <f>IF(E38="C",0,IF(E38 ="D",ROUND(1/((1+'Simulador Original'!$P$13)^A38),9) * 2,ROUND(1/((1+'Simulador Original'!$P$13)^A38),9)))</f>
        <v>0.63820018499999998</v>
      </c>
      <c r="G38" s="210">
        <f t="shared" si="4"/>
        <v>23.117130370999998</v>
      </c>
      <c r="H38" s="139">
        <f>+COUNTIF($E$4:E38,"C")</f>
        <v>6</v>
      </c>
    </row>
    <row r="39" spans="1:8" s="214" customFormat="1" x14ac:dyDescent="0.25">
      <c r="A39" s="211">
        <f t="shared" si="1"/>
        <v>36</v>
      </c>
      <c r="B39" s="211">
        <f t="shared" si="2"/>
        <v>30</v>
      </c>
      <c r="C39" s="212">
        <f t="shared" si="3"/>
        <v>45792</v>
      </c>
      <c r="D39" s="211">
        <f t="shared" si="0"/>
        <v>5</v>
      </c>
      <c r="E39" s="211" t="str">
        <f>IF(ISERROR(MATCH(D39,'Simulador Original'!$G$16:$G$17,0))=FALSE,"C",IF(ISERROR(MATCH(D39,'Simulador Original'!$G$18:$G$19,0))=FALSE,"D",""))</f>
        <v/>
      </c>
      <c r="F39" s="213">
        <f>IF(E39="C",0,IF(E39 ="D",ROUND(1/((1+'Simulador Original'!$P$13)^A39),9) * 2,ROUND(1/((1+'Simulador Original'!$P$13)^A39),9)))</f>
        <v>0.63006342100000001</v>
      </c>
      <c r="G39" s="213">
        <f t="shared" si="4"/>
        <v>23.747193791999997</v>
      </c>
      <c r="H39" s="139">
        <f>+COUNTIF($E$4:E39,"C")</f>
        <v>6</v>
      </c>
    </row>
    <row r="40" spans="1:8" x14ac:dyDescent="0.25">
      <c r="A40" s="207">
        <f t="shared" si="1"/>
        <v>37</v>
      </c>
      <c r="B40" s="207">
        <f t="shared" si="2"/>
        <v>30</v>
      </c>
      <c r="C40" s="209">
        <f t="shared" si="3"/>
        <v>45823</v>
      </c>
      <c r="D40" s="207">
        <f t="shared" si="0"/>
        <v>6</v>
      </c>
      <c r="E40" s="207" t="str">
        <f>IF(ISERROR(MATCH(D40,'Simulador Original'!$G$16:$G$17,0))=FALSE,"C",IF(ISERROR(MATCH(D40,'Simulador Original'!$G$18:$G$19,0))=FALSE,"D",""))</f>
        <v>C</v>
      </c>
      <c r="F40" s="210">
        <f>IF(E40="C",0,IF(E40 ="D",ROUND(1/((1+'Simulador Original'!$P$13)^A40),9) * 2,ROUND(1/((1+'Simulador Original'!$P$13)^A40),9)))</f>
        <v>0</v>
      </c>
      <c r="G40" s="210">
        <f t="shared" si="4"/>
        <v>23.747193791999997</v>
      </c>
      <c r="H40" s="139">
        <f>+COUNTIF($E$4:E40,"C")</f>
        <v>7</v>
      </c>
    </row>
    <row r="41" spans="1:8" x14ac:dyDescent="0.25">
      <c r="A41" s="207">
        <f t="shared" si="1"/>
        <v>38</v>
      </c>
      <c r="B41" s="207">
        <f t="shared" si="2"/>
        <v>31</v>
      </c>
      <c r="C41" s="209">
        <f t="shared" si="3"/>
        <v>45853</v>
      </c>
      <c r="D41" s="207">
        <f t="shared" si="0"/>
        <v>7</v>
      </c>
      <c r="E41" s="207" t="str">
        <f>IF(ISERROR(MATCH(D41,'Simulador Original'!$G$16:$G$17,0))=FALSE,"C",IF(ISERROR(MATCH(D41,'Simulador Original'!$G$18:$G$19,0))=FALSE,"D",""))</f>
        <v/>
      </c>
      <c r="F41" s="210">
        <f>IF(E41="C",0,IF(E41 ="D",ROUND(1/((1+'Simulador Original'!$P$13)^A41),9) * 2,ROUND(1/((1+'Simulador Original'!$P$13)^A41),9)))</f>
        <v>0.61409978899999995</v>
      </c>
      <c r="G41" s="210">
        <f t="shared" si="4"/>
        <v>24.361293580999998</v>
      </c>
      <c r="H41" s="139">
        <f>+COUNTIF($E$4:E41,"C")</f>
        <v>7</v>
      </c>
    </row>
    <row r="42" spans="1:8" x14ac:dyDescent="0.25">
      <c r="A42" s="207">
        <f t="shared" si="1"/>
        <v>39</v>
      </c>
      <c r="B42" s="207">
        <f t="shared" si="2"/>
        <v>32</v>
      </c>
      <c r="C42" s="209">
        <f t="shared" si="3"/>
        <v>45884</v>
      </c>
      <c r="D42" s="207">
        <f t="shared" si="0"/>
        <v>8</v>
      </c>
      <c r="E42" s="207" t="str">
        <f>IF(ISERROR(MATCH(D42,'Simulador Original'!$G$16:$G$17,0))=FALSE,"C",IF(ISERROR(MATCH(D42,'Simulador Original'!$G$18:$G$19,0))=FALSE,"D",""))</f>
        <v/>
      </c>
      <c r="F42" s="210">
        <f>IF(E42="C",0,IF(E42 ="D",ROUND(1/((1+'Simulador Original'!$P$13)^A42),9) * 2,ROUND(1/((1+'Simulador Original'!$P$13)^A42),9)))</f>
        <v>0.60627029399999999</v>
      </c>
      <c r="G42" s="210">
        <f t="shared" si="4"/>
        <v>24.967563875</v>
      </c>
      <c r="H42" s="139">
        <f>+COUNTIF($E$4:E42,"C")</f>
        <v>7</v>
      </c>
    </row>
    <row r="43" spans="1:8" x14ac:dyDescent="0.25">
      <c r="A43" s="207">
        <f t="shared" si="1"/>
        <v>40</v>
      </c>
      <c r="B43" s="207">
        <f t="shared" si="2"/>
        <v>33</v>
      </c>
      <c r="C43" s="209">
        <f t="shared" si="3"/>
        <v>45915</v>
      </c>
      <c r="D43" s="207">
        <f t="shared" si="0"/>
        <v>9</v>
      </c>
      <c r="E43" s="207" t="str">
        <f>IF(ISERROR(MATCH(D43,'Simulador Original'!$G$16:$G$17,0))=FALSE,"C",IF(ISERROR(MATCH(D43,'Simulador Original'!$G$18:$G$19,0))=FALSE,"D",""))</f>
        <v/>
      </c>
      <c r="F43" s="210">
        <f>IF(E43="C",0,IF(E43 ="D",ROUND(1/((1+'Simulador Original'!$P$13)^A43),9) * 2,ROUND(1/((1+'Simulador Original'!$P$13)^A43),9)))</f>
        <v>0.59854062100000005</v>
      </c>
      <c r="G43" s="210">
        <f t="shared" si="4"/>
        <v>25.566104496000001</v>
      </c>
      <c r="H43" s="139">
        <f>+COUNTIF($E$4:E43,"C")</f>
        <v>7</v>
      </c>
    </row>
    <row r="44" spans="1:8" x14ac:dyDescent="0.25">
      <c r="A44" s="207">
        <f t="shared" si="1"/>
        <v>41</v>
      </c>
      <c r="B44" s="207">
        <f t="shared" si="2"/>
        <v>34</v>
      </c>
      <c r="C44" s="209">
        <f t="shared" si="3"/>
        <v>45945</v>
      </c>
      <c r="D44" s="207">
        <f t="shared" si="0"/>
        <v>10</v>
      </c>
      <c r="E44" s="207" t="str">
        <f>IF(ISERROR(MATCH(D44,'Simulador Original'!$G$16:$G$17,0))=FALSE,"C",IF(ISERROR(MATCH(D44,'Simulador Original'!$G$18:$G$19,0))=FALSE,"D",""))</f>
        <v/>
      </c>
      <c r="F44" s="210">
        <f>IF(E44="C",0,IF(E44 ="D",ROUND(1/((1+'Simulador Original'!$P$13)^A44),9) * 2,ROUND(1/((1+'Simulador Original'!$P$13)^A44),9)))</f>
        <v>0.59090949800000003</v>
      </c>
      <c r="G44" s="210">
        <f t="shared" si="4"/>
        <v>26.157013994</v>
      </c>
      <c r="H44" s="139">
        <f>+COUNTIF($E$4:E44,"C")</f>
        <v>7</v>
      </c>
    </row>
    <row r="45" spans="1:8" x14ac:dyDescent="0.25">
      <c r="A45" s="207">
        <f t="shared" si="1"/>
        <v>42</v>
      </c>
      <c r="B45" s="207">
        <f t="shared" si="2"/>
        <v>35</v>
      </c>
      <c r="C45" s="209">
        <f t="shared" si="3"/>
        <v>45976</v>
      </c>
      <c r="D45" s="207">
        <f t="shared" si="0"/>
        <v>11</v>
      </c>
      <c r="E45" s="207" t="str">
        <f>IF(ISERROR(MATCH(D45,'Simulador Original'!$G$16:$G$17,0))=FALSE,"C",IF(ISERROR(MATCH(D45,'Simulador Original'!$G$18:$G$19,0))=FALSE,"D",""))</f>
        <v/>
      </c>
      <c r="F45" s="210">
        <f>IF(E45="C",0,IF(E45 ="D",ROUND(1/((1+'Simulador Original'!$P$13)^A45),9) * 2,ROUND(1/((1+'Simulador Original'!$P$13)^A45),9)))</f>
        <v>0.58337566799999996</v>
      </c>
      <c r="G45" s="210">
        <f t="shared" si="4"/>
        <v>26.740389661999998</v>
      </c>
      <c r="H45" s="139">
        <f>+COUNTIF($E$4:E45,"C")</f>
        <v>7</v>
      </c>
    </row>
    <row r="46" spans="1:8" x14ac:dyDescent="0.25">
      <c r="A46" s="207">
        <f t="shared" si="1"/>
        <v>43</v>
      </c>
      <c r="B46" s="207">
        <f t="shared" si="2"/>
        <v>36</v>
      </c>
      <c r="C46" s="209">
        <f t="shared" si="3"/>
        <v>46006</v>
      </c>
      <c r="D46" s="207">
        <f t="shared" si="0"/>
        <v>12</v>
      </c>
      <c r="E46" s="207" t="str">
        <f>IF(ISERROR(MATCH(D46,'Simulador Original'!$G$16:$G$17,0))=FALSE,"C",IF(ISERROR(MATCH(D46,'Simulador Original'!$G$18:$G$19,0))=FALSE,"D",""))</f>
        <v/>
      </c>
      <c r="F46" s="210">
        <f>IF(E46="C",0,IF(E46 ="D",ROUND(1/((1+'Simulador Original'!$P$13)^A46),9) * 2,ROUND(1/((1+'Simulador Original'!$P$13)^A46),9)))</f>
        <v>0.57593789100000004</v>
      </c>
      <c r="G46" s="210">
        <f t="shared" si="4"/>
        <v>27.316327552999997</v>
      </c>
      <c r="H46" s="139">
        <f>+COUNTIF($E$4:E46,"C")</f>
        <v>7</v>
      </c>
    </row>
    <row r="47" spans="1:8" x14ac:dyDescent="0.25">
      <c r="A47" s="207">
        <f t="shared" si="1"/>
        <v>44</v>
      </c>
      <c r="B47" s="207">
        <f t="shared" si="2"/>
        <v>36</v>
      </c>
      <c r="C47" s="209">
        <f t="shared" si="3"/>
        <v>46037</v>
      </c>
      <c r="D47" s="207">
        <f t="shared" si="0"/>
        <v>1</v>
      </c>
      <c r="E47" s="207" t="str">
        <f>IF(ISERROR(MATCH(D47,'Simulador Original'!$G$16:$G$17,0))=FALSE,"C",IF(ISERROR(MATCH(D47,'Simulador Original'!$G$18:$G$19,0))=FALSE,"D",""))</f>
        <v>C</v>
      </c>
      <c r="F47" s="210">
        <f>IF(E47="C",0,IF(E47 ="D",ROUND(1/((1+'Simulador Original'!$P$13)^A47),9) * 2,ROUND(1/((1+'Simulador Original'!$P$13)^A47),9)))</f>
        <v>0</v>
      </c>
      <c r="G47" s="210">
        <f t="shared" si="4"/>
        <v>27.316327552999997</v>
      </c>
      <c r="H47" s="139">
        <f>+COUNTIF($E$4:E47,"C")</f>
        <v>8</v>
      </c>
    </row>
    <row r="48" spans="1:8" x14ac:dyDescent="0.25">
      <c r="A48" s="207">
        <f t="shared" si="1"/>
        <v>45</v>
      </c>
      <c r="B48" s="207">
        <f t="shared" si="2"/>
        <v>37</v>
      </c>
      <c r="C48" s="209">
        <f t="shared" si="3"/>
        <v>46068</v>
      </c>
      <c r="D48" s="207">
        <f t="shared" si="0"/>
        <v>2</v>
      </c>
      <c r="E48" s="207" t="str">
        <f>IF(ISERROR(MATCH(D48,'Simulador Original'!$G$16:$G$17,0))=FALSE,"C",IF(ISERROR(MATCH(D48,'Simulador Original'!$G$18:$G$19,0))=FALSE,"D",""))</f>
        <v/>
      </c>
      <c r="F48" s="210">
        <f>IF(E48="C",0,IF(E48 ="D",ROUND(1/((1+'Simulador Original'!$P$13)^A48),9) * 2,ROUND(1/((1+'Simulador Original'!$P$13)^A48),9)))</f>
        <v>0.56134561400000005</v>
      </c>
      <c r="G48" s="210">
        <f t="shared" si="4"/>
        <v>27.877673166999998</v>
      </c>
      <c r="H48" s="139">
        <f>+COUNTIF($E$4:E48,"C")</f>
        <v>8</v>
      </c>
    </row>
    <row r="49" spans="1:8" x14ac:dyDescent="0.25">
      <c r="A49" s="207">
        <f t="shared" si="1"/>
        <v>46</v>
      </c>
      <c r="B49" s="207">
        <f t="shared" si="2"/>
        <v>38</v>
      </c>
      <c r="C49" s="209">
        <f t="shared" si="3"/>
        <v>46096</v>
      </c>
      <c r="D49" s="207">
        <f t="shared" si="0"/>
        <v>3</v>
      </c>
      <c r="E49" s="207" t="str">
        <f>IF(ISERROR(MATCH(D49,'Simulador Original'!$G$16:$G$17,0))=FALSE,"C",IF(ISERROR(MATCH(D49,'Simulador Original'!$G$18:$G$19,0))=FALSE,"D",""))</f>
        <v/>
      </c>
      <c r="F49" s="210">
        <f>IF(E49="C",0,IF(E49 ="D",ROUND(1/((1+'Simulador Original'!$P$13)^A49),9) * 2,ROUND(1/((1+'Simulador Original'!$P$13)^A49),9)))</f>
        <v>0.55418871000000003</v>
      </c>
      <c r="G49" s="210">
        <f t="shared" si="4"/>
        <v>28.431861876999996</v>
      </c>
      <c r="H49" s="139">
        <f>+COUNTIF($E$4:E49,"C")</f>
        <v>8</v>
      </c>
    </row>
    <row r="50" spans="1:8" x14ac:dyDescent="0.25">
      <c r="A50" s="207">
        <f t="shared" si="1"/>
        <v>47</v>
      </c>
      <c r="B50" s="207">
        <f t="shared" si="2"/>
        <v>39</v>
      </c>
      <c r="C50" s="209">
        <f t="shared" si="3"/>
        <v>46127</v>
      </c>
      <c r="D50" s="207">
        <f t="shared" si="0"/>
        <v>4</v>
      </c>
      <c r="E50" s="207" t="str">
        <f>IF(ISERROR(MATCH(D50,'Simulador Original'!$G$16:$G$17,0))=FALSE,"C",IF(ISERROR(MATCH(D50,'Simulador Original'!$G$18:$G$19,0))=FALSE,"D",""))</f>
        <v/>
      </c>
      <c r="F50" s="210">
        <f>IF(E50="C",0,IF(E50 ="D",ROUND(1/((1+'Simulador Original'!$P$13)^A50),9) * 2,ROUND(1/((1+'Simulador Original'!$P$13)^A50),9)))</f>
        <v>0.54712305400000005</v>
      </c>
      <c r="G50" s="210">
        <f t="shared" si="4"/>
        <v>28.978984930999996</v>
      </c>
      <c r="H50" s="139">
        <f>+COUNTIF($E$4:E50,"C")</f>
        <v>8</v>
      </c>
    </row>
    <row r="51" spans="1:8" x14ac:dyDescent="0.25">
      <c r="A51" s="207">
        <f t="shared" si="1"/>
        <v>48</v>
      </c>
      <c r="B51" s="207">
        <f t="shared" si="2"/>
        <v>40</v>
      </c>
      <c r="C51" s="209">
        <f t="shared" si="3"/>
        <v>46157</v>
      </c>
      <c r="D51" s="207">
        <f t="shared" si="0"/>
        <v>5</v>
      </c>
      <c r="E51" s="207" t="str">
        <f>IF(ISERROR(MATCH(D51,'Simulador Original'!$G$16:$G$17,0))=FALSE,"C",IF(ISERROR(MATCH(D51,'Simulador Original'!$G$18:$G$19,0))=FALSE,"D",""))</f>
        <v/>
      </c>
      <c r="F51" s="210">
        <f>IF(E51="C",0,IF(E51 ="D",ROUND(1/((1+'Simulador Original'!$P$13)^A51),9) * 2,ROUND(1/((1+'Simulador Original'!$P$13)^A51),9)))</f>
        <v>0.54014748199999996</v>
      </c>
      <c r="G51" s="210">
        <f t="shared" si="4"/>
        <v>29.519132412999994</v>
      </c>
      <c r="H51" s="139">
        <f>+COUNTIF($E$4:E51,"C")</f>
        <v>8</v>
      </c>
    </row>
    <row r="52" spans="1:8" x14ac:dyDescent="0.25">
      <c r="A52" s="207">
        <f t="shared" si="1"/>
        <v>49</v>
      </c>
      <c r="B52" s="207">
        <f t="shared" si="2"/>
        <v>40</v>
      </c>
      <c r="C52" s="209">
        <f t="shared" si="3"/>
        <v>46188</v>
      </c>
      <c r="D52" s="207">
        <f t="shared" si="0"/>
        <v>6</v>
      </c>
      <c r="E52" s="207" t="str">
        <f>IF(ISERROR(MATCH(D52,'Simulador Original'!$G$16:$G$17,0))=FALSE,"C",IF(ISERROR(MATCH(D52,'Simulador Original'!$G$18:$G$19,0))=FALSE,"D",""))</f>
        <v>C</v>
      </c>
      <c r="F52" s="210">
        <f>IF(E52="C",0,IF(E52 ="D",ROUND(1/((1+'Simulador Original'!$P$13)^A52),9) * 2,ROUND(1/((1+'Simulador Original'!$P$13)^A52),9)))</f>
        <v>0</v>
      </c>
      <c r="G52" s="210">
        <f t="shared" si="4"/>
        <v>29.519132412999994</v>
      </c>
      <c r="H52" s="139">
        <f>+COUNTIF($E$4:E52,"C")</f>
        <v>9</v>
      </c>
    </row>
    <row r="53" spans="1:8" x14ac:dyDescent="0.25">
      <c r="A53" s="207">
        <f t="shared" si="1"/>
        <v>50</v>
      </c>
      <c r="B53" s="207">
        <f t="shared" si="2"/>
        <v>41</v>
      </c>
      <c r="C53" s="209">
        <f t="shared" si="3"/>
        <v>46218</v>
      </c>
      <c r="D53" s="207">
        <f t="shared" si="0"/>
        <v>7</v>
      </c>
      <c r="E53" s="207" t="str">
        <f>IF(ISERROR(MATCH(D53,'Simulador Original'!$G$16:$G$17,0))=FALSE,"C",IF(ISERROR(MATCH(D53,'Simulador Original'!$G$18:$G$19,0))=FALSE,"D",""))</f>
        <v/>
      </c>
      <c r="F53" s="210">
        <f>IF(E53="C",0,IF(E53 ="D",ROUND(1/((1+'Simulador Original'!$P$13)^A53),9) * 2,ROUND(1/((1+'Simulador Original'!$P$13)^A53),9)))</f>
        <v>0.52646201000000004</v>
      </c>
      <c r="G53" s="210">
        <f t="shared" si="4"/>
        <v>30.045594422999994</v>
      </c>
      <c r="H53" s="139">
        <f>+COUNTIF($E$4:E53,"C")</f>
        <v>9</v>
      </c>
    </row>
    <row r="54" spans="1:8" x14ac:dyDescent="0.25">
      <c r="A54" s="207">
        <f t="shared" si="1"/>
        <v>51</v>
      </c>
      <c r="B54" s="207">
        <f t="shared" si="2"/>
        <v>42</v>
      </c>
      <c r="C54" s="209">
        <f t="shared" si="3"/>
        <v>46249</v>
      </c>
      <c r="D54" s="207">
        <f t="shared" si="0"/>
        <v>8</v>
      </c>
      <c r="E54" s="207" t="str">
        <f>IF(ISERROR(MATCH(D54,'Simulador Original'!$G$16:$G$17,0))=FALSE,"C",IF(ISERROR(MATCH(D54,'Simulador Original'!$G$18:$G$19,0))=FALSE,"D",""))</f>
        <v/>
      </c>
      <c r="F54" s="210">
        <f>IF(E54="C",0,IF(E54 ="D",ROUND(1/((1+'Simulador Original'!$P$13)^A54),9) * 2,ROUND(1/((1+'Simulador Original'!$P$13)^A54),9)))</f>
        <v>0.51974985600000001</v>
      </c>
      <c r="G54" s="210">
        <f t="shared" si="4"/>
        <v>30.565344278999994</v>
      </c>
      <c r="H54" s="139">
        <f>+COUNTIF($E$4:E54,"C")</f>
        <v>9</v>
      </c>
    </row>
    <row r="55" spans="1:8" x14ac:dyDescent="0.25">
      <c r="A55" s="207">
        <f t="shared" si="1"/>
        <v>52</v>
      </c>
      <c r="B55" s="207">
        <f t="shared" si="2"/>
        <v>43</v>
      </c>
      <c r="C55" s="209">
        <f t="shared" si="3"/>
        <v>46280</v>
      </c>
      <c r="D55" s="207">
        <f t="shared" si="0"/>
        <v>9</v>
      </c>
      <c r="E55" s="207" t="str">
        <f>IF(ISERROR(MATCH(D55,'Simulador Original'!$G$16:$G$17,0))=FALSE,"C",IF(ISERROR(MATCH(D55,'Simulador Original'!$G$18:$G$19,0))=FALSE,"D",""))</f>
        <v/>
      </c>
      <c r="F55" s="210">
        <f>IF(E55="C",0,IF(E55 ="D",ROUND(1/((1+'Simulador Original'!$P$13)^A55),9) * 2,ROUND(1/((1+'Simulador Original'!$P$13)^A55),9)))</f>
        <v>0.51312327999999996</v>
      </c>
      <c r="G55" s="210">
        <f t="shared" si="4"/>
        <v>31.078467558999993</v>
      </c>
      <c r="H55" s="139">
        <f>+COUNTIF($E$4:E55,"C")</f>
        <v>9</v>
      </c>
    </row>
    <row r="56" spans="1:8" x14ac:dyDescent="0.25">
      <c r="A56" s="207">
        <f t="shared" si="1"/>
        <v>53</v>
      </c>
      <c r="B56" s="207">
        <f t="shared" si="2"/>
        <v>44</v>
      </c>
      <c r="C56" s="209">
        <f t="shared" si="3"/>
        <v>46310</v>
      </c>
      <c r="D56" s="207">
        <f t="shared" si="0"/>
        <v>10</v>
      </c>
      <c r="E56" s="207" t="str">
        <f>IF(ISERROR(MATCH(D56,'Simulador Original'!$G$16:$G$17,0))=FALSE,"C",IF(ISERROR(MATCH(D56,'Simulador Original'!$G$18:$G$19,0))=FALSE,"D",""))</f>
        <v/>
      </c>
      <c r="F56" s="210">
        <f>IF(E56="C",0,IF(E56 ="D",ROUND(1/((1+'Simulador Original'!$P$13)^A56),9) * 2,ROUND(1/((1+'Simulador Original'!$P$13)^A56),9)))</f>
        <v>0.50658119000000001</v>
      </c>
      <c r="G56" s="210">
        <f t="shared" si="4"/>
        <v>31.585048748999991</v>
      </c>
      <c r="H56" s="139">
        <f>+COUNTIF($E$4:E56,"C")</f>
        <v>9</v>
      </c>
    </row>
    <row r="57" spans="1:8" x14ac:dyDescent="0.25">
      <c r="A57" s="207">
        <f t="shared" si="1"/>
        <v>54</v>
      </c>
      <c r="B57" s="207">
        <f t="shared" si="2"/>
        <v>45</v>
      </c>
      <c r="C57" s="209">
        <f t="shared" si="3"/>
        <v>46341</v>
      </c>
      <c r="D57" s="207">
        <f t="shared" si="0"/>
        <v>11</v>
      </c>
      <c r="E57" s="207" t="str">
        <f>IF(ISERROR(MATCH(D57,'Simulador Original'!$G$16:$G$17,0))=FALSE,"C",IF(ISERROR(MATCH(D57,'Simulador Original'!$G$18:$G$19,0))=FALSE,"D",""))</f>
        <v/>
      </c>
      <c r="F57" s="210">
        <f>IF(E57="C",0,IF(E57 ="D",ROUND(1/((1+'Simulador Original'!$P$13)^A57),9) * 2,ROUND(1/((1+'Simulador Original'!$P$13)^A57),9)))</f>
        <v>0.50012250800000002</v>
      </c>
      <c r="G57" s="210">
        <f t="shared" si="4"/>
        <v>32.085171256999992</v>
      </c>
      <c r="H57" s="139">
        <f>+COUNTIF($E$4:E57,"C")</f>
        <v>9</v>
      </c>
    </row>
    <row r="58" spans="1:8" x14ac:dyDescent="0.25">
      <c r="A58" s="207">
        <f t="shared" si="1"/>
        <v>55</v>
      </c>
      <c r="B58" s="207">
        <f t="shared" si="2"/>
        <v>46</v>
      </c>
      <c r="C58" s="209">
        <f t="shared" si="3"/>
        <v>46371</v>
      </c>
      <c r="D58" s="207">
        <f t="shared" si="0"/>
        <v>12</v>
      </c>
      <c r="E58" s="207" t="str">
        <f>IF(ISERROR(MATCH(D58,'Simulador Original'!$G$16:$G$17,0))=FALSE,"C",IF(ISERROR(MATCH(D58,'Simulador Original'!$G$18:$G$19,0))=FALSE,"D",""))</f>
        <v/>
      </c>
      <c r="F58" s="210">
        <f>IF(E58="C",0,IF(E58 ="D",ROUND(1/((1+'Simulador Original'!$P$13)^A58),9) * 2,ROUND(1/((1+'Simulador Original'!$P$13)^A58),9)))</f>
        <v>0.49374617100000001</v>
      </c>
      <c r="G58" s="210">
        <f t="shared" si="4"/>
        <v>32.57891742799999</v>
      </c>
      <c r="H58" s="139">
        <f>+COUNTIF($E$4:E58,"C")</f>
        <v>9</v>
      </c>
    </row>
    <row r="59" spans="1:8" x14ac:dyDescent="0.25">
      <c r="A59" s="207">
        <f t="shared" si="1"/>
        <v>56</v>
      </c>
      <c r="B59" s="207">
        <f t="shared" si="2"/>
        <v>46</v>
      </c>
      <c r="C59" s="209">
        <f t="shared" si="3"/>
        <v>46402</v>
      </c>
      <c r="D59" s="207">
        <f t="shared" si="0"/>
        <v>1</v>
      </c>
      <c r="E59" s="207" t="str">
        <f>IF(ISERROR(MATCH(D59,'Simulador Original'!$G$16:$G$17,0))=FALSE,"C",IF(ISERROR(MATCH(D59,'Simulador Original'!$G$18:$G$19,0))=FALSE,"D",""))</f>
        <v>C</v>
      </c>
      <c r="F59" s="210">
        <f>IF(E59="C",0,IF(E59 ="D",ROUND(1/((1+'Simulador Original'!$P$13)^A59),9) * 2,ROUND(1/((1+'Simulador Original'!$P$13)^A59),9)))</f>
        <v>0</v>
      </c>
      <c r="G59" s="210">
        <f t="shared" si="4"/>
        <v>32.57891742799999</v>
      </c>
      <c r="H59" s="139">
        <f>+COUNTIF($E$4:E59,"C")</f>
        <v>10</v>
      </c>
    </row>
    <row r="60" spans="1:8" x14ac:dyDescent="0.25">
      <c r="A60" s="207">
        <f t="shared" si="1"/>
        <v>57</v>
      </c>
      <c r="B60" s="207">
        <f t="shared" si="2"/>
        <v>47</v>
      </c>
      <c r="C60" s="209">
        <f t="shared" si="3"/>
        <v>46433</v>
      </c>
      <c r="D60" s="207">
        <f t="shared" si="0"/>
        <v>2</v>
      </c>
      <c r="E60" s="207" t="str">
        <f>IF(ISERROR(MATCH(D60,'Simulador Original'!$G$16:$G$17,0))=FALSE,"C",IF(ISERROR(MATCH(D60,'Simulador Original'!$G$18:$G$19,0))=FALSE,"D",""))</f>
        <v/>
      </c>
      <c r="F60" s="210">
        <f>IF(E60="C",0,IF(E60 ="D",ROUND(1/((1+'Simulador Original'!$P$13)^A60),9) * 2,ROUND(1/((1+'Simulador Original'!$P$13)^A60),9)))</f>
        <v>0.48123634799999998</v>
      </c>
      <c r="G60" s="210">
        <f t="shared" si="4"/>
        <v>33.060153775999993</v>
      </c>
      <c r="H60" s="139">
        <f>+COUNTIF($E$4:E60,"C")</f>
        <v>10</v>
      </c>
    </row>
    <row r="61" spans="1:8" x14ac:dyDescent="0.25">
      <c r="A61" s="207">
        <f t="shared" si="1"/>
        <v>58</v>
      </c>
      <c r="B61" s="207">
        <f t="shared" si="2"/>
        <v>48</v>
      </c>
      <c r="C61" s="209">
        <f t="shared" si="3"/>
        <v>46461</v>
      </c>
      <c r="D61" s="207">
        <f t="shared" si="0"/>
        <v>3</v>
      </c>
      <c r="E61" s="207" t="str">
        <f>IF(ISERROR(MATCH(D61,'Simulador Original'!$G$16:$G$17,0))=FALSE,"C",IF(ISERROR(MATCH(D61,'Simulador Original'!$G$18:$G$19,0))=FALSE,"D",""))</f>
        <v/>
      </c>
      <c r="F61" s="210">
        <f>IF(E61="C",0,IF(E61 ="D",ROUND(1/((1+'Simulador Original'!$P$13)^A61),9) * 2,ROUND(1/((1+'Simulador Original'!$P$13)^A61),9)))</f>
        <v>0.47510080199999999</v>
      </c>
      <c r="G61" s="210">
        <f t="shared" si="4"/>
        <v>33.535254577999993</v>
      </c>
      <c r="H61" s="139">
        <f>+COUNTIF($E$4:E61,"C")</f>
        <v>10</v>
      </c>
    </row>
    <row r="62" spans="1:8" x14ac:dyDescent="0.25">
      <c r="A62" s="207">
        <f t="shared" si="1"/>
        <v>59</v>
      </c>
      <c r="B62" s="207">
        <f t="shared" si="2"/>
        <v>49</v>
      </c>
      <c r="C62" s="209">
        <f t="shared" si="3"/>
        <v>46492</v>
      </c>
      <c r="D62" s="207">
        <f t="shared" si="0"/>
        <v>4</v>
      </c>
      <c r="E62" s="207" t="str">
        <f>IF(ISERROR(MATCH(D62,'Simulador Original'!$G$16:$G$17,0))=FALSE,"C",IF(ISERROR(MATCH(D62,'Simulador Original'!$G$18:$G$19,0))=FALSE,"D",""))</f>
        <v/>
      </c>
      <c r="F62" s="210">
        <f>IF(E62="C",0,IF(E62 ="D",ROUND(1/((1+'Simulador Original'!$P$13)^A62),9) * 2,ROUND(1/((1+'Simulador Original'!$P$13)^A62),9)))</f>
        <v>0.46904348099999998</v>
      </c>
      <c r="G62" s="210">
        <f t="shared" si="4"/>
        <v>34.004298058999993</v>
      </c>
      <c r="H62" s="139">
        <f>+COUNTIF($E$4:E62,"C")</f>
        <v>10</v>
      </c>
    </row>
    <row r="63" spans="1:8" x14ac:dyDescent="0.25">
      <c r="A63" s="207">
        <f t="shared" si="1"/>
        <v>60</v>
      </c>
      <c r="B63" s="207">
        <f t="shared" si="2"/>
        <v>50</v>
      </c>
      <c r="C63" s="209">
        <f t="shared" si="3"/>
        <v>46522</v>
      </c>
      <c r="D63" s="207">
        <f t="shared" si="0"/>
        <v>5</v>
      </c>
      <c r="E63" s="207" t="str">
        <f>IF(ISERROR(MATCH(D63,'Simulador Original'!$G$16:$G$17,0))=FALSE,"C",IF(ISERROR(MATCH(D63,'Simulador Original'!$G$18:$G$19,0))=FALSE,"D",""))</f>
        <v/>
      </c>
      <c r="F63" s="210">
        <f>IF(E63="C",0,IF(E63 ="D",ROUND(1/((1+'Simulador Original'!$P$13)^A63),9) * 2,ROUND(1/((1+'Simulador Original'!$P$13)^A63),9)))</f>
        <v>0.46306338800000002</v>
      </c>
      <c r="G63" s="210">
        <f t="shared" si="4"/>
        <v>34.467361446999995</v>
      </c>
      <c r="H63" s="139">
        <f>+COUNTIF($E$4:E63,"C")</f>
        <v>10</v>
      </c>
    </row>
    <row r="64" spans="1:8" x14ac:dyDescent="0.25">
      <c r="A64" s="207">
        <f t="shared" si="1"/>
        <v>61</v>
      </c>
      <c r="B64" s="207">
        <f t="shared" si="2"/>
        <v>50</v>
      </c>
      <c r="C64" s="209">
        <f t="shared" si="3"/>
        <v>46553</v>
      </c>
      <c r="D64" s="207">
        <f t="shared" si="0"/>
        <v>6</v>
      </c>
      <c r="E64" s="207" t="str">
        <f>IF(ISERROR(MATCH(D64,'Simulador Original'!$G$16:$G$17,0))=FALSE,"C",IF(ISERROR(MATCH(D64,'Simulador Original'!$G$18:$G$19,0))=FALSE,"D",""))</f>
        <v>C</v>
      </c>
      <c r="F64" s="210">
        <f>IF(E64="C",0,IF(E64 ="D",ROUND(1/((1+'Simulador Original'!$P$13)^A64),9) * 2,ROUND(1/((1+'Simulador Original'!$P$13)^A64),9)))</f>
        <v>0</v>
      </c>
      <c r="G64" s="210">
        <f t="shared" si="4"/>
        <v>34.467361446999995</v>
      </c>
      <c r="H64" s="139">
        <f>+COUNTIF($E$4:E64,"C")</f>
        <v>11</v>
      </c>
    </row>
    <row r="65" spans="1:8" x14ac:dyDescent="0.25">
      <c r="A65" s="207">
        <f t="shared" si="1"/>
        <v>62</v>
      </c>
      <c r="B65" s="207">
        <f t="shared" si="2"/>
        <v>51</v>
      </c>
      <c r="C65" s="209">
        <f t="shared" si="3"/>
        <v>46583</v>
      </c>
      <c r="D65" s="207">
        <f t="shared" si="0"/>
        <v>7</v>
      </c>
      <c r="E65" s="207" t="str">
        <f>IF(ISERROR(MATCH(D65,'Simulador Original'!$G$16:$G$17,0))=FALSE,"C",IF(ISERROR(MATCH(D65,'Simulador Original'!$G$18:$G$19,0))=FALSE,"D",""))</f>
        <v/>
      </c>
      <c r="F65" s="210">
        <f>IF(E65="C",0,IF(E65 ="D",ROUND(1/((1+'Simulador Original'!$P$13)^A65),9) * 2,ROUND(1/((1+'Simulador Original'!$P$13)^A65),9)))</f>
        <v>0.45133096</v>
      </c>
      <c r="G65" s="210">
        <f t="shared" si="4"/>
        <v>34.918692406999995</v>
      </c>
      <c r="H65" s="139">
        <f>+COUNTIF($E$4:E65,"C")</f>
        <v>11</v>
      </c>
    </row>
    <row r="66" spans="1:8" x14ac:dyDescent="0.25">
      <c r="A66" s="207">
        <f t="shared" si="1"/>
        <v>63</v>
      </c>
      <c r="B66" s="207">
        <f t="shared" si="2"/>
        <v>52</v>
      </c>
      <c r="C66" s="209">
        <f t="shared" si="3"/>
        <v>46614</v>
      </c>
      <c r="D66" s="207">
        <f t="shared" si="0"/>
        <v>8</v>
      </c>
      <c r="E66" s="207" t="str">
        <f>IF(ISERROR(MATCH(D66,'Simulador Original'!$G$16:$G$17,0))=FALSE,"C",IF(ISERROR(MATCH(D66,'Simulador Original'!$G$18:$G$19,0))=FALSE,"D",""))</f>
        <v/>
      </c>
      <c r="F66" s="210">
        <f>IF(E66="C",0,IF(E66 ="D",ROUND(1/((1+'Simulador Original'!$P$13)^A66),9) * 2,ROUND(1/((1+'Simulador Original'!$P$13)^A66),9)))</f>
        <v>0.445576694</v>
      </c>
      <c r="G66" s="210">
        <f t="shared" si="4"/>
        <v>35.364269100999998</v>
      </c>
      <c r="H66" s="139">
        <f>+COUNTIF($E$4:E66,"C")</f>
        <v>11</v>
      </c>
    </row>
    <row r="67" spans="1:8" x14ac:dyDescent="0.25">
      <c r="A67" s="207">
        <f t="shared" si="1"/>
        <v>64</v>
      </c>
      <c r="B67" s="207">
        <f t="shared" si="2"/>
        <v>53</v>
      </c>
      <c r="C67" s="209">
        <f t="shared" si="3"/>
        <v>46645</v>
      </c>
      <c r="D67" s="207">
        <f t="shared" si="0"/>
        <v>9</v>
      </c>
      <c r="E67" s="207" t="str">
        <f>IF(ISERROR(MATCH(D67,'Simulador Original'!$G$16:$G$17,0))=FALSE,"C",IF(ISERROR(MATCH(D67,'Simulador Original'!$G$18:$G$19,0))=FALSE,"D",""))</f>
        <v/>
      </c>
      <c r="F67" s="210">
        <f>IF(E67="C",0,IF(E67 ="D",ROUND(1/((1+'Simulador Original'!$P$13)^A67),9) * 2,ROUND(1/((1+'Simulador Original'!$P$13)^A67),9)))</f>
        <v>0.43989579200000001</v>
      </c>
      <c r="G67" s="210">
        <f t="shared" si="4"/>
        <v>35.804164892999999</v>
      </c>
      <c r="H67" s="139">
        <f>+COUNTIF($E$4:E67,"C")</f>
        <v>11</v>
      </c>
    </row>
    <row r="68" spans="1:8" x14ac:dyDescent="0.25">
      <c r="A68" s="207">
        <f t="shared" si="1"/>
        <v>65</v>
      </c>
      <c r="B68" s="207">
        <f t="shared" si="2"/>
        <v>54</v>
      </c>
      <c r="C68" s="209">
        <f t="shared" si="3"/>
        <v>46675</v>
      </c>
      <c r="D68" s="207">
        <f t="shared" ref="D68:D99" si="5">MONTH(C68)</f>
        <v>10</v>
      </c>
      <c r="E68" s="207" t="str">
        <f>IF(ISERROR(MATCH(D68,'Simulador Original'!$G$16:$G$17,0))=FALSE,"C",IF(ISERROR(MATCH(D68,'Simulador Original'!$G$18:$G$19,0))=FALSE,"D",""))</f>
        <v/>
      </c>
      <c r="F68" s="210">
        <f>IF(E68="C",0,IF(E68 ="D",ROUND(1/((1+'Simulador Original'!$P$13)^A68),9) * 2,ROUND(1/((1+'Simulador Original'!$P$13)^A68),9)))</f>
        <v>0.434287319</v>
      </c>
      <c r="G68" s="210">
        <f t="shared" si="4"/>
        <v>36.238452211999999</v>
      </c>
      <c r="H68" s="139">
        <f>+COUNTIF($E$4:E68,"C")</f>
        <v>11</v>
      </c>
    </row>
    <row r="69" spans="1:8" x14ac:dyDescent="0.25">
      <c r="A69" s="207">
        <f t="shared" ref="A69:A99" si="6">A68+1</f>
        <v>66</v>
      </c>
      <c r="B69" s="207">
        <f t="shared" ref="B69:B99" si="7">IF(E69&lt;&gt;"C",IF(ISERROR(1+B68)=TRUE,1,1+B68),IF(ISNUMBER(B68),B68,1))</f>
        <v>55</v>
      </c>
      <c r="C69" s="209">
        <f t="shared" ref="C69:C99" si="8">DATE(YEAR(C68) + 1/12,MONTH(C68)+1,DAY(C68))</f>
        <v>46706</v>
      </c>
      <c r="D69" s="207">
        <f t="shared" si="5"/>
        <v>11</v>
      </c>
      <c r="E69" s="207" t="str">
        <f>IF(ISERROR(MATCH(D69,'Simulador Original'!$G$16:$G$17,0))=FALSE,"C",IF(ISERROR(MATCH(D69,'Simulador Original'!$G$18:$G$19,0))=FALSE,"D",""))</f>
        <v/>
      </c>
      <c r="F69" s="210">
        <f>IF(E69="C",0,IF(E69 ="D",ROUND(1/((1+'Simulador Original'!$P$13)^A69),9) * 2,ROUND(1/((1+'Simulador Original'!$P$13)^A69),9)))</f>
        <v>0.428750352</v>
      </c>
      <c r="G69" s="210">
        <f t="shared" si="4"/>
        <v>36.667202564</v>
      </c>
      <c r="H69" s="139">
        <f>+COUNTIF($E$4:E69,"C")</f>
        <v>11</v>
      </c>
    </row>
    <row r="70" spans="1:8" x14ac:dyDescent="0.25">
      <c r="A70" s="207">
        <f t="shared" si="6"/>
        <v>67</v>
      </c>
      <c r="B70" s="207">
        <f t="shared" si="7"/>
        <v>56</v>
      </c>
      <c r="C70" s="209">
        <f t="shared" si="8"/>
        <v>46736</v>
      </c>
      <c r="D70" s="207">
        <f t="shared" si="5"/>
        <v>12</v>
      </c>
      <c r="E70" s="207" t="str">
        <f>IF(ISERROR(MATCH(D70,'Simulador Original'!$G$16:$G$17,0))=FALSE,"C",IF(ISERROR(MATCH(D70,'Simulador Original'!$G$18:$G$19,0))=FALSE,"D",""))</f>
        <v/>
      </c>
      <c r="F70" s="210">
        <f>IF(E70="C",0,IF(E70 ="D",ROUND(1/((1+'Simulador Original'!$P$13)^A70),9) * 2,ROUND(1/((1+'Simulador Original'!$P$13)^A70),9)))</f>
        <v>0.42328397800000001</v>
      </c>
      <c r="G70" s="210">
        <f t="shared" ref="G70:G99" si="9">G69+ROUND(F70,9)</f>
        <v>37.090486542000001</v>
      </c>
      <c r="H70" s="139">
        <f>+COUNTIF($E$4:E70,"C")</f>
        <v>11</v>
      </c>
    </row>
    <row r="71" spans="1:8" x14ac:dyDescent="0.25">
      <c r="A71" s="207">
        <f t="shared" si="6"/>
        <v>68</v>
      </c>
      <c r="B71" s="207">
        <f t="shared" si="7"/>
        <v>56</v>
      </c>
      <c r="C71" s="209">
        <f t="shared" si="8"/>
        <v>46767</v>
      </c>
      <c r="D71" s="207">
        <f t="shared" si="5"/>
        <v>1</v>
      </c>
      <c r="E71" s="207" t="str">
        <f>IF(ISERROR(MATCH(D71,'Simulador Original'!$G$16:$G$17,0))=FALSE,"C",IF(ISERROR(MATCH(D71,'Simulador Original'!$G$18:$G$19,0))=FALSE,"D",""))</f>
        <v>C</v>
      </c>
      <c r="F71" s="210">
        <f>IF(E71="C",0,IF(E71 ="D",ROUND(1/((1+'Simulador Original'!$P$13)^A71),9) * 2,ROUND(1/((1+'Simulador Original'!$P$13)^A71),9)))</f>
        <v>0</v>
      </c>
      <c r="G71" s="210">
        <f t="shared" si="9"/>
        <v>37.090486542000001</v>
      </c>
      <c r="H71" s="139">
        <f>+COUNTIF($E$4:E71,"C")</f>
        <v>12</v>
      </c>
    </row>
    <row r="72" spans="1:8" x14ac:dyDescent="0.25">
      <c r="A72" s="207">
        <f t="shared" si="6"/>
        <v>69</v>
      </c>
      <c r="B72" s="207">
        <f t="shared" si="7"/>
        <v>57</v>
      </c>
      <c r="C72" s="209">
        <f t="shared" si="8"/>
        <v>46798</v>
      </c>
      <c r="D72" s="207">
        <f t="shared" si="5"/>
        <v>2</v>
      </c>
      <c r="E72" s="207" t="str">
        <f>IF(ISERROR(MATCH(D72,'Simulador Original'!$G$16:$G$17,0))=FALSE,"C",IF(ISERROR(MATCH(D72,'Simulador Original'!$G$18:$G$19,0))=FALSE,"D",""))</f>
        <v/>
      </c>
      <c r="F72" s="210">
        <f>IF(E72="C",0,IF(E72 ="D",ROUND(1/((1+'Simulador Original'!$P$13)^A72),9) * 2,ROUND(1/((1+'Simulador Original'!$P$13)^A72),9)))</f>
        <v>0.41255942299999998</v>
      </c>
      <c r="G72" s="210">
        <f t="shared" si="9"/>
        <v>37.503045964999998</v>
      </c>
      <c r="H72" s="139">
        <f>+COUNTIF($E$4:E72,"C")</f>
        <v>12</v>
      </c>
    </row>
    <row r="73" spans="1:8" x14ac:dyDescent="0.25">
      <c r="A73" s="207">
        <f t="shared" si="6"/>
        <v>70</v>
      </c>
      <c r="B73" s="207">
        <f t="shared" si="7"/>
        <v>58</v>
      </c>
      <c r="C73" s="209">
        <f t="shared" si="8"/>
        <v>46827</v>
      </c>
      <c r="D73" s="207">
        <f t="shared" si="5"/>
        <v>3</v>
      </c>
      <c r="E73" s="207" t="str">
        <f>IF(ISERROR(MATCH(D73,'Simulador Original'!$G$16:$G$17,0))=FALSE,"C",IF(ISERROR(MATCH(D73,'Simulador Original'!$G$18:$G$19,0))=FALSE,"D",""))</f>
        <v/>
      </c>
      <c r="F73" s="210">
        <f>IF(E73="C",0,IF(E73 ="D",ROUND(1/((1+'Simulador Original'!$P$13)^A73),9) * 2,ROUND(1/((1+'Simulador Original'!$P$13)^A73),9)))</f>
        <v>0.40729947700000002</v>
      </c>
      <c r="G73" s="210">
        <f t="shared" si="9"/>
        <v>37.910345442000001</v>
      </c>
      <c r="H73" s="139">
        <f>+COUNTIF($E$4:E73,"C")</f>
        <v>12</v>
      </c>
    </row>
    <row r="74" spans="1:8" x14ac:dyDescent="0.25">
      <c r="A74" s="207">
        <f t="shared" si="6"/>
        <v>71</v>
      </c>
      <c r="B74" s="207">
        <f t="shared" si="7"/>
        <v>59</v>
      </c>
      <c r="C74" s="209">
        <f t="shared" si="8"/>
        <v>46858</v>
      </c>
      <c r="D74" s="207">
        <f t="shared" si="5"/>
        <v>4</v>
      </c>
      <c r="E74" s="207" t="str">
        <f>IF(ISERROR(MATCH(D74,'Simulador Original'!$G$16:$G$17,0))=FALSE,"C",IF(ISERROR(MATCH(D74,'Simulador Original'!$G$18:$G$19,0))=FALSE,"D",""))</f>
        <v/>
      </c>
      <c r="F74" s="210">
        <f>IF(E74="C",0,IF(E74 ="D",ROUND(1/((1+'Simulador Original'!$P$13)^A74),9) * 2,ROUND(1/((1+'Simulador Original'!$P$13)^A74),9)))</f>
        <v>0.40210659199999998</v>
      </c>
      <c r="G74" s="210">
        <f t="shared" si="9"/>
        <v>38.312452034000003</v>
      </c>
      <c r="H74" s="139">
        <f>+COUNTIF($E$4:E74,"C")</f>
        <v>12</v>
      </c>
    </row>
    <row r="75" spans="1:8" x14ac:dyDescent="0.25">
      <c r="A75" s="207">
        <f t="shared" si="6"/>
        <v>72</v>
      </c>
      <c r="B75" s="207">
        <f t="shared" si="7"/>
        <v>60</v>
      </c>
      <c r="C75" s="209">
        <f t="shared" si="8"/>
        <v>46888</v>
      </c>
      <c r="D75" s="207">
        <f t="shared" si="5"/>
        <v>5</v>
      </c>
      <c r="E75" s="207" t="str">
        <f>IF(ISERROR(MATCH(D75,'Simulador Original'!$G$16:$G$17,0))=FALSE,"C",IF(ISERROR(MATCH(D75,'Simulador Original'!$G$18:$G$19,0))=FALSE,"D",""))</f>
        <v/>
      </c>
      <c r="F75" s="210">
        <f>IF(E75="C",0,IF(E75 ="D",ROUND(1/((1+'Simulador Original'!$P$13)^A75),9) * 2,ROUND(1/((1+'Simulador Original'!$P$13)^A75),9)))</f>
        <v>0.39697991399999999</v>
      </c>
      <c r="G75" s="210">
        <f t="shared" si="9"/>
        <v>38.709431948000002</v>
      </c>
      <c r="H75" s="139">
        <f>+COUNTIF($E$4:E75,"C")</f>
        <v>12</v>
      </c>
    </row>
    <row r="76" spans="1:8" x14ac:dyDescent="0.25">
      <c r="A76" s="207">
        <f t="shared" si="6"/>
        <v>73</v>
      </c>
      <c r="B76" s="207">
        <f t="shared" si="7"/>
        <v>60</v>
      </c>
      <c r="C76" s="209">
        <f t="shared" si="8"/>
        <v>46919</v>
      </c>
      <c r="D76" s="207">
        <f t="shared" si="5"/>
        <v>6</v>
      </c>
      <c r="E76" s="207" t="str">
        <f>IF(ISERROR(MATCH(D76,'Simulador Original'!$G$16:$G$17,0))=FALSE,"C",IF(ISERROR(MATCH(D76,'Simulador Original'!$G$18:$G$19,0))=FALSE,"D",""))</f>
        <v>C</v>
      </c>
      <c r="F76" s="210">
        <f>IF(E76="C",0,IF(E76 ="D",ROUND(1/((1+'Simulador Original'!$P$13)^A76),9) * 2,ROUND(1/((1+'Simulador Original'!$P$13)^A76),9)))</f>
        <v>0</v>
      </c>
      <c r="G76" s="210">
        <f t="shared" si="9"/>
        <v>38.709431948000002</v>
      </c>
      <c r="H76" s="139">
        <f>+COUNTIF($E$4:E76,"C")</f>
        <v>13</v>
      </c>
    </row>
    <row r="77" spans="1:8" x14ac:dyDescent="0.25">
      <c r="A77" s="207">
        <f t="shared" si="6"/>
        <v>74</v>
      </c>
      <c r="B77" s="207">
        <f t="shared" si="7"/>
        <v>61</v>
      </c>
      <c r="C77" s="209">
        <f t="shared" si="8"/>
        <v>46949</v>
      </c>
      <c r="D77" s="207">
        <f t="shared" si="5"/>
        <v>7</v>
      </c>
      <c r="E77" s="207" t="str">
        <f>IF(ISERROR(MATCH(D77,'Simulador Original'!$G$16:$G$17,0))=FALSE,"C",IF(ISERROR(MATCH(D77,'Simulador Original'!$G$18:$G$19,0))=FALSE,"D",""))</f>
        <v/>
      </c>
      <c r="F77" s="210">
        <f>IF(E77="C",0,IF(E77 ="D",ROUND(1/((1+'Simulador Original'!$P$13)^A77),9) * 2,ROUND(1/((1+'Simulador Original'!$P$13)^A77),9)))</f>
        <v>0.38692181399999998</v>
      </c>
      <c r="G77" s="210">
        <f t="shared" si="9"/>
        <v>39.096353762</v>
      </c>
      <c r="H77" s="139">
        <f>+COUNTIF($E$4:E77,"C")</f>
        <v>13</v>
      </c>
    </row>
    <row r="78" spans="1:8" x14ac:dyDescent="0.25">
      <c r="A78" s="207">
        <f t="shared" si="6"/>
        <v>75</v>
      </c>
      <c r="B78" s="207">
        <f t="shared" si="7"/>
        <v>62</v>
      </c>
      <c r="C78" s="209">
        <f t="shared" si="8"/>
        <v>46980</v>
      </c>
      <c r="D78" s="207">
        <f t="shared" si="5"/>
        <v>8</v>
      </c>
      <c r="E78" s="207" t="str">
        <f>IF(ISERROR(MATCH(D78,'Simulador Original'!$G$16:$G$17,0))=FALSE,"C",IF(ISERROR(MATCH(D78,'Simulador Original'!$G$18:$G$19,0))=FALSE,"D",""))</f>
        <v/>
      </c>
      <c r="F78" s="210">
        <f>IF(E78="C",0,IF(E78 ="D",ROUND(1/((1+'Simulador Original'!$P$13)^A78),9) * 2,ROUND(1/((1+'Simulador Original'!$P$13)^A78),9)))</f>
        <v>0.38198873500000002</v>
      </c>
      <c r="G78" s="210">
        <f t="shared" si="9"/>
        <v>39.478342497</v>
      </c>
      <c r="H78" s="139">
        <f>+COUNTIF($E$4:E78,"C")</f>
        <v>13</v>
      </c>
    </row>
    <row r="79" spans="1:8" x14ac:dyDescent="0.25">
      <c r="A79" s="207">
        <f t="shared" si="6"/>
        <v>76</v>
      </c>
      <c r="B79" s="207">
        <f t="shared" si="7"/>
        <v>63</v>
      </c>
      <c r="C79" s="209">
        <f t="shared" si="8"/>
        <v>47011</v>
      </c>
      <c r="D79" s="207">
        <f t="shared" si="5"/>
        <v>9</v>
      </c>
      <c r="E79" s="207" t="str">
        <f>IF(ISERROR(MATCH(D79,'Simulador Original'!$G$16:$G$17,0))=FALSE,"C",IF(ISERROR(MATCH(D79,'Simulador Original'!$G$18:$G$19,0))=FALSE,"D",""))</f>
        <v/>
      </c>
      <c r="F79" s="210">
        <f>IF(E79="C",0,IF(E79 ="D",ROUND(1/((1+'Simulador Original'!$P$13)^A79),9) * 2,ROUND(1/((1+'Simulador Original'!$P$13)^A79),9)))</f>
        <v>0.37711855100000002</v>
      </c>
      <c r="G79" s="210">
        <f t="shared" si="9"/>
        <v>39.855461048000002</v>
      </c>
      <c r="H79" s="139">
        <f>+COUNTIF($E$4:E79,"C")</f>
        <v>13</v>
      </c>
    </row>
    <row r="80" spans="1:8" x14ac:dyDescent="0.25">
      <c r="A80" s="207">
        <f t="shared" si="6"/>
        <v>77</v>
      </c>
      <c r="B80" s="207">
        <f t="shared" si="7"/>
        <v>64</v>
      </c>
      <c r="C80" s="209">
        <f t="shared" si="8"/>
        <v>47041</v>
      </c>
      <c r="D80" s="207">
        <f t="shared" si="5"/>
        <v>10</v>
      </c>
      <c r="E80" s="207" t="str">
        <f>IF(ISERROR(MATCH(D80,'Simulador Original'!$G$16:$G$17,0))=FALSE,"C",IF(ISERROR(MATCH(D80,'Simulador Original'!$G$18:$G$19,0))=FALSE,"D",""))</f>
        <v/>
      </c>
      <c r="F80" s="210">
        <f>IF(E80="C",0,IF(E80 ="D",ROUND(1/((1+'Simulador Original'!$P$13)^A80),9) * 2,ROUND(1/((1+'Simulador Original'!$P$13)^A80),9)))</f>
        <v>0.37231046000000001</v>
      </c>
      <c r="G80" s="210">
        <f t="shared" si="9"/>
        <v>40.227771508000004</v>
      </c>
      <c r="H80" s="139">
        <f>+COUNTIF($E$4:E80,"C")</f>
        <v>13</v>
      </c>
    </row>
    <row r="81" spans="1:8" x14ac:dyDescent="0.25">
      <c r="A81" s="207">
        <f t="shared" si="6"/>
        <v>78</v>
      </c>
      <c r="B81" s="207">
        <f t="shared" si="7"/>
        <v>65</v>
      </c>
      <c r="C81" s="209">
        <f t="shared" si="8"/>
        <v>47072</v>
      </c>
      <c r="D81" s="207">
        <f t="shared" si="5"/>
        <v>11</v>
      </c>
      <c r="E81" s="207" t="str">
        <f>IF(ISERROR(MATCH(D81,'Simulador Original'!$G$16:$G$17,0))=FALSE,"C",IF(ISERROR(MATCH(D81,'Simulador Original'!$G$18:$G$19,0))=FALSE,"D",""))</f>
        <v/>
      </c>
      <c r="F81" s="210">
        <f>IF(E81="C",0,IF(E81 ="D",ROUND(1/((1+'Simulador Original'!$P$13)^A81),9) * 2,ROUND(1/((1+'Simulador Original'!$P$13)^A81),9)))</f>
        <v>0.36756366899999998</v>
      </c>
      <c r="G81" s="210">
        <f t="shared" si="9"/>
        <v>40.595335177000003</v>
      </c>
      <c r="H81" s="139">
        <f>+COUNTIF($E$4:E81,"C")</f>
        <v>13</v>
      </c>
    </row>
    <row r="82" spans="1:8" x14ac:dyDescent="0.25">
      <c r="A82" s="207">
        <f t="shared" si="6"/>
        <v>79</v>
      </c>
      <c r="B82" s="207">
        <f t="shared" si="7"/>
        <v>66</v>
      </c>
      <c r="C82" s="209">
        <f t="shared" si="8"/>
        <v>47102</v>
      </c>
      <c r="D82" s="207">
        <f t="shared" si="5"/>
        <v>12</v>
      </c>
      <c r="E82" s="207" t="str">
        <f>IF(ISERROR(MATCH(D82,'Simulador Original'!$G$16:$G$17,0))=FALSE,"C",IF(ISERROR(MATCH(D82,'Simulador Original'!$G$18:$G$19,0))=FALSE,"D",""))</f>
        <v/>
      </c>
      <c r="F82" s="210">
        <f>IF(E82="C",0,IF(E82 ="D",ROUND(1/((1+'Simulador Original'!$P$13)^A82),9) * 2,ROUND(1/((1+'Simulador Original'!$P$13)^A82),9)))</f>
        <v>0.36287739800000002</v>
      </c>
      <c r="G82" s="210">
        <f t="shared" si="9"/>
        <v>40.958212575000005</v>
      </c>
      <c r="H82" s="139">
        <f>+COUNTIF($E$4:E82,"C")</f>
        <v>13</v>
      </c>
    </row>
    <row r="83" spans="1:8" x14ac:dyDescent="0.25">
      <c r="A83" s="207">
        <f t="shared" si="6"/>
        <v>80</v>
      </c>
      <c r="B83" s="207">
        <f t="shared" si="7"/>
        <v>66</v>
      </c>
      <c r="C83" s="209">
        <f t="shared" si="8"/>
        <v>47133</v>
      </c>
      <c r="D83" s="207">
        <f t="shared" si="5"/>
        <v>1</v>
      </c>
      <c r="E83" s="207" t="str">
        <f>IF(ISERROR(MATCH(D83,'Simulador Original'!$G$16:$G$17,0))=FALSE,"C",IF(ISERROR(MATCH(D83,'Simulador Original'!$G$18:$G$19,0))=FALSE,"D",""))</f>
        <v>C</v>
      </c>
      <c r="F83" s="210">
        <f>IF(E83="C",0,IF(E83 ="D",ROUND(1/((1+'Simulador Original'!$P$13)^A83),9) * 2,ROUND(1/((1+'Simulador Original'!$P$13)^A83),9)))</f>
        <v>0</v>
      </c>
      <c r="G83" s="210">
        <f t="shared" si="9"/>
        <v>40.958212575000005</v>
      </c>
      <c r="H83" s="139">
        <f>+COUNTIF($E$4:E83,"C")</f>
        <v>14</v>
      </c>
    </row>
    <row r="84" spans="1:8" x14ac:dyDescent="0.25">
      <c r="A84" s="207">
        <f t="shared" si="6"/>
        <v>81</v>
      </c>
      <c r="B84" s="207">
        <f t="shared" si="7"/>
        <v>67</v>
      </c>
      <c r="C84" s="209">
        <f t="shared" si="8"/>
        <v>47164</v>
      </c>
      <c r="D84" s="207">
        <f t="shared" si="5"/>
        <v>2</v>
      </c>
      <c r="E84" s="207" t="str">
        <f>IF(ISERROR(MATCH(D84,'Simulador Original'!$G$16:$G$17,0))=FALSE,"C",IF(ISERROR(MATCH(D84,'Simulador Original'!$G$18:$G$19,0))=FALSE,"D",""))</f>
        <v/>
      </c>
      <c r="F84" s="210">
        <f>IF(E84="C",0,IF(E84 ="D",ROUND(1/((1+'Simulador Original'!$P$13)^A84),9) * 2,ROUND(1/((1+'Simulador Original'!$P$13)^A84),9)))</f>
        <v>0.35368333800000001</v>
      </c>
      <c r="G84" s="210">
        <f t="shared" si="9"/>
        <v>41.311895913000008</v>
      </c>
      <c r="H84" s="139">
        <f>+COUNTIF($E$4:E84,"C")</f>
        <v>14</v>
      </c>
    </row>
    <row r="85" spans="1:8" x14ac:dyDescent="0.25">
      <c r="A85" s="207">
        <f t="shared" si="6"/>
        <v>82</v>
      </c>
      <c r="B85" s="207">
        <f t="shared" si="7"/>
        <v>68</v>
      </c>
      <c r="C85" s="209">
        <f t="shared" si="8"/>
        <v>47192</v>
      </c>
      <c r="D85" s="207">
        <f t="shared" si="5"/>
        <v>3</v>
      </c>
      <c r="E85" s="207" t="str">
        <f>IF(ISERROR(MATCH(D85,'Simulador Original'!$G$16:$G$17,0))=FALSE,"C",IF(ISERROR(MATCH(D85,'Simulador Original'!$G$18:$G$19,0))=FALSE,"D",""))</f>
        <v/>
      </c>
      <c r="F85" s="210">
        <f>IF(E85="C",0,IF(E85 ="D",ROUND(1/((1+'Simulador Original'!$P$13)^A85),9) * 2,ROUND(1/((1+'Simulador Original'!$P$13)^A85),9)))</f>
        <v>0.34917403499999999</v>
      </c>
      <c r="G85" s="210">
        <f t="shared" si="9"/>
        <v>41.661069948000005</v>
      </c>
      <c r="H85" s="139">
        <f>+COUNTIF($E$4:E85,"C")</f>
        <v>14</v>
      </c>
    </row>
    <row r="86" spans="1:8" x14ac:dyDescent="0.25">
      <c r="A86" s="207">
        <f t="shared" si="6"/>
        <v>83</v>
      </c>
      <c r="B86" s="207">
        <f t="shared" si="7"/>
        <v>69</v>
      </c>
      <c r="C86" s="209">
        <f t="shared" si="8"/>
        <v>47223</v>
      </c>
      <c r="D86" s="207">
        <f t="shared" si="5"/>
        <v>4</v>
      </c>
      <c r="E86" s="207" t="str">
        <f>IF(ISERROR(MATCH(D86,'Simulador Original'!$G$16:$G$17,0))=FALSE,"C",IF(ISERROR(MATCH(D86,'Simulador Original'!$G$18:$G$19,0))=FALSE,"D",""))</f>
        <v/>
      </c>
      <c r="F86" s="210">
        <f>IF(E86="C",0,IF(E86 ="D",ROUND(1/((1+'Simulador Original'!$P$13)^A86),9) * 2,ROUND(1/((1+'Simulador Original'!$P$13)^A86),9)))</f>
        <v>0.34472222299999999</v>
      </c>
      <c r="G86" s="210">
        <f t="shared" si="9"/>
        <v>42.005792171000003</v>
      </c>
      <c r="H86" s="139">
        <f>+COUNTIF($E$4:E86,"C")</f>
        <v>14</v>
      </c>
    </row>
    <row r="87" spans="1:8" x14ac:dyDescent="0.25">
      <c r="A87" s="207">
        <f t="shared" si="6"/>
        <v>84</v>
      </c>
      <c r="B87" s="207">
        <f t="shared" si="7"/>
        <v>70</v>
      </c>
      <c r="C87" s="209">
        <f t="shared" si="8"/>
        <v>47253</v>
      </c>
      <c r="D87" s="207">
        <f t="shared" si="5"/>
        <v>5</v>
      </c>
      <c r="E87" s="207" t="str">
        <f>IF(ISERROR(MATCH(D87,'Simulador Original'!$G$16:$G$17,0))=FALSE,"C",IF(ISERROR(MATCH(D87,'Simulador Original'!$G$18:$G$19,0))=FALSE,"D",""))</f>
        <v/>
      </c>
      <c r="F87" s="210">
        <f>IF(E87="C",0,IF(E87 ="D",ROUND(1/((1+'Simulador Original'!$P$13)^A87),9) * 2,ROUND(1/((1+'Simulador Original'!$P$13)^A87),9)))</f>
        <v>0.34032717000000001</v>
      </c>
      <c r="G87" s="210">
        <f t="shared" si="9"/>
        <v>42.346119341000005</v>
      </c>
      <c r="H87" s="139">
        <f>+COUNTIF($E$4:E87,"C")</f>
        <v>14</v>
      </c>
    </row>
    <row r="88" spans="1:8" x14ac:dyDescent="0.25">
      <c r="A88" s="207">
        <f t="shared" si="6"/>
        <v>85</v>
      </c>
      <c r="B88" s="207">
        <f t="shared" si="7"/>
        <v>70</v>
      </c>
      <c r="C88" s="209">
        <f t="shared" si="8"/>
        <v>47284</v>
      </c>
      <c r="D88" s="207">
        <f t="shared" si="5"/>
        <v>6</v>
      </c>
      <c r="E88" s="207" t="str">
        <f>IF(ISERROR(MATCH(D88,'Simulador Original'!$G$16:$G$17,0))=FALSE,"C",IF(ISERROR(MATCH(D88,'Simulador Original'!$G$18:$G$19,0))=FALSE,"D",""))</f>
        <v>C</v>
      </c>
      <c r="F88" s="210">
        <f>IF(E88="C",0,IF(E88 ="D",ROUND(1/((1+'Simulador Original'!$P$13)^A88),9) * 2,ROUND(1/((1+'Simulador Original'!$P$13)^A88),9)))</f>
        <v>0</v>
      </c>
      <c r="G88" s="210">
        <f t="shared" si="9"/>
        <v>42.346119341000005</v>
      </c>
      <c r="H88" s="139">
        <f>+COUNTIF($E$4:E88,"C")</f>
        <v>15</v>
      </c>
    </row>
    <row r="89" spans="1:8" x14ac:dyDescent="0.25">
      <c r="A89" s="207">
        <f t="shared" si="6"/>
        <v>86</v>
      </c>
      <c r="B89" s="207">
        <f t="shared" si="7"/>
        <v>71</v>
      </c>
      <c r="C89" s="209">
        <f t="shared" si="8"/>
        <v>47314</v>
      </c>
      <c r="D89" s="207">
        <f t="shared" si="5"/>
        <v>7</v>
      </c>
      <c r="E89" s="207" t="str">
        <f>IF(ISERROR(MATCH(D89,'Simulador Original'!$G$16:$G$17,0))=FALSE,"C",IF(ISERROR(MATCH(D89,'Simulador Original'!$G$18:$G$19,0))=FALSE,"D",""))</f>
        <v/>
      </c>
      <c r="F89" s="210">
        <f>IF(E89="C",0,IF(E89 ="D",ROUND(1/((1+'Simulador Original'!$P$13)^A89),9) * 2,ROUND(1/((1+'Simulador Original'!$P$13)^A89),9)))</f>
        <v>0.33170445500000001</v>
      </c>
      <c r="G89" s="210">
        <f t="shared" si="9"/>
        <v>42.677823796000006</v>
      </c>
      <c r="H89" s="139">
        <f>+COUNTIF($E$4:E89,"C")</f>
        <v>15</v>
      </c>
    </row>
    <row r="90" spans="1:8" x14ac:dyDescent="0.25">
      <c r="A90" s="207">
        <f t="shared" si="6"/>
        <v>87</v>
      </c>
      <c r="B90" s="207">
        <f t="shared" si="7"/>
        <v>72</v>
      </c>
      <c r="C90" s="209">
        <f t="shared" si="8"/>
        <v>47345</v>
      </c>
      <c r="D90" s="207">
        <f t="shared" si="5"/>
        <v>8</v>
      </c>
      <c r="E90" s="207" t="str">
        <f>IF(ISERROR(MATCH(D90,'Simulador Original'!$G$16:$G$17,0))=FALSE,"C",IF(ISERROR(MATCH(D90,'Simulador Original'!$G$18:$G$19,0))=FALSE,"D",""))</f>
        <v/>
      </c>
      <c r="F90" s="210">
        <f>IF(E90="C",0,IF(E90 ="D",ROUND(1/((1+'Simulador Original'!$P$13)^A90),9) * 2,ROUND(1/((1+'Simulador Original'!$P$13)^A90),9)))</f>
        <v>0.32747537199999999</v>
      </c>
      <c r="G90" s="210">
        <f t="shared" si="9"/>
        <v>43.005299168000008</v>
      </c>
      <c r="H90" s="139">
        <f>+COUNTIF($E$4:E90,"C")</f>
        <v>15</v>
      </c>
    </row>
    <row r="91" spans="1:8" x14ac:dyDescent="0.25">
      <c r="A91" s="207">
        <f t="shared" si="6"/>
        <v>88</v>
      </c>
      <c r="B91" s="207">
        <f t="shared" si="7"/>
        <v>73</v>
      </c>
      <c r="C91" s="209">
        <f t="shared" si="8"/>
        <v>47376</v>
      </c>
      <c r="D91" s="207">
        <f t="shared" si="5"/>
        <v>9</v>
      </c>
      <c r="E91" s="207" t="str">
        <f>IF(ISERROR(MATCH(D91,'Simulador Original'!$G$16:$G$17,0))=FALSE,"C",IF(ISERROR(MATCH(D91,'Simulador Original'!$G$18:$G$19,0))=FALSE,"D",""))</f>
        <v/>
      </c>
      <c r="F91" s="210">
        <f>IF(E91="C",0,IF(E91 ="D",ROUND(1/((1+'Simulador Original'!$P$13)^A91),9) * 2,ROUND(1/((1+'Simulador Original'!$P$13)^A91),9)))</f>
        <v>0.32330020900000001</v>
      </c>
      <c r="G91" s="210">
        <f t="shared" si="9"/>
        <v>43.32859937700001</v>
      </c>
      <c r="H91" s="139">
        <f>+COUNTIF($E$4:E91,"C")</f>
        <v>15</v>
      </c>
    </row>
    <row r="92" spans="1:8" x14ac:dyDescent="0.25">
      <c r="A92" s="207">
        <f t="shared" si="6"/>
        <v>89</v>
      </c>
      <c r="B92" s="207">
        <f t="shared" si="7"/>
        <v>74</v>
      </c>
      <c r="C92" s="209">
        <f t="shared" si="8"/>
        <v>47406</v>
      </c>
      <c r="D92" s="207">
        <f t="shared" si="5"/>
        <v>10</v>
      </c>
      <c r="E92" s="207" t="str">
        <f>IF(ISERROR(MATCH(D92,'Simulador Original'!$G$16:$G$17,0))=FALSE,"C",IF(ISERROR(MATCH(D92,'Simulador Original'!$G$18:$G$19,0))=FALSE,"D",""))</f>
        <v/>
      </c>
      <c r="F92" s="210">
        <f>IF(E92="C",0,IF(E92 ="D",ROUND(1/((1+'Simulador Original'!$P$13)^A92),9) * 2,ROUND(1/((1+'Simulador Original'!$P$13)^A92),9)))</f>
        <v>0.31917827700000001</v>
      </c>
      <c r="G92" s="210">
        <f t="shared" si="9"/>
        <v>43.647777654000009</v>
      </c>
      <c r="H92" s="139">
        <f>+COUNTIF($E$4:E92,"C")</f>
        <v>15</v>
      </c>
    </row>
    <row r="93" spans="1:8" x14ac:dyDescent="0.25">
      <c r="A93" s="207">
        <f t="shared" si="6"/>
        <v>90</v>
      </c>
      <c r="B93" s="207">
        <f t="shared" si="7"/>
        <v>75</v>
      </c>
      <c r="C93" s="209">
        <f t="shared" si="8"/>
        <v>47437</v>
      </c>
      <c r="D93" s="207">
        <f t="shared" si="5"/>
        <v>11</v>
      </c>
      <c r="E93" s="207" t="str">
        <f>IF(ISERROR(MATCH(D93,'Simulador Original'!$G$16:$G$17,0))=FALSE,"C",IF(ISERROR(MATCH(D93,'Simulador Original'!$G$18:$G$19,0))=FALSE,"D",""))</f>
        <v/>
      </c>
      <c r="F93" s="210">
        <f>IF(E93="C",0,IF(E93 ="D",ROUND(1/((1+'Simulador Original'!$P$13)^A93),9) * 2,ROUND(1/((1+'Simulador Original'!$P$13)^A93),9)))</f>
        <v>0.31510889800000003</v>
      </c>
      <c r="G93" s="210">
        <f t="shared" si="9"/>
        <v>43.962886552000008</v>
      </c>
      <c r="H93" s="139">
        <f>+COUNTIF($E$4:E93,"C")</f>
        <v>15</v>
      </c>
    </row>
    <row r="94" spans="1:8" x14ac:dyDescent="0.25">
      <c r="A94" s="207">
        <f t="shared" si="6"/>
        <v>91</v>
      </c>
      <c r="B94" s="207">
        <f t="shared" si="7"/>
        <v>76</v>
      </c>
      <c r="C94" s="209">
        <f t="shared" si="8"/>
        <v>47467</v>
      </c>
      <c r="D94" s="207">
        <f t="shared" si="5"/>
        <v>12</v>
      </c>
      <c r="E94" s="207" t="str">
        <f>IF(ISERROR(MATCH(D94,'Simulador Original'!$G$16:$G$17,0))=FALSE,"C",IF(ISERROR(MATCH(D94,'Simulador Original'!$G$18:$G$19,0))=FALSE,"D",""))</f>
        <v/>
      </c>
      <c r="F94" s="210">
        <f>IF(E94="C",0,IF(E94 ="D",ROUND(1/((1+'Simulador Original'!$P$13)^A94),9) * 2,ROUND(1/((1+'Simulador Original'!$P$13)^A94),9)))</f>
        <v>0.31109140200000002</v>
      </c>
      <c r="G94" s="210">
        <f t="shared" si="9"/>
        <v>44.27397795400001</v>
      </c>
      <c r="H94" s="139">
        <f>+COUNTIF($E$4:E94,"C")</f>
        <v>15</v>
      </c>
    </row>
    <row r="95" spans="1:8" x14ac:dyDescent="0.25">
      <c r="A95" s="207">
        <f t="shared" si="6"/>
        <v>92</v>
      </c>
      <c r="B95" s="207">
        <f t="shared" si="7"/>
        <v>76</v>
      </c>
      <c r="C95" s="209">
        <f t="shared" si="8"/>
        <v>47498</v>
      </c>
      <c r="D95" s="207">
        <f t="shared" si="5"/>
        <v>1</v>
      </c>
      <c r="E95" s="207" t="str">
        <f>IF(ISERROR(MATCH(D95,'Simulador Original'!$G$16:$G$17,0))=FALSE,"C",IF(ISERROR(MATCH(D95,'Simulador Original'!$G$18:$G$19,0))=FALSE,"D",""))</f>
        <v>C</v>
      </c>
      <c r="F95" s="210">
        <f>IF(E95="C",0,IF(E95 ="D",ROUND(1/((1+'Simulador Original'!$P$13)^A95),9) * 2,ROUND(1/((1+'Simulador Original'!$P$13)^A95),9)))</f>
        <v>0</v>
      </c>
      <c r="G95" s="210">
        <f t="shared" si="9"/>
        <v>44.27397795400001</v>
      </c>
      <c r="H95" s="139">
        <f>+COUNTIF($E$4:E95,"C")</f>
        <v>16</v>
      </c>
    </row>
    <row r="96" spans="1:8" x14ac:dyDescent="0.25">
      <c r="A96" s="207">
        <f t="shared" si="6"/>
        <v>93</v>
      </c>
      <c r="B96" s="207">
        <f t="shared" si="7"/>
        <v>77</v>
      </c>
      <c r="C96" s="209">
        <f t="shared" si="8"/>
        <v>47529</v>
      </c>
      <c r="D96" s="207">
        <f t="shared" si="5"/>
        <v>2</v>
      </c>
      <c r="E96" s="207" t="str">
        <f>IF(ISERROR(MATCH(D96,'Simulador Original'!$G$16:$G$17,0))=FALSE,"C",IF(ISERROR(MATCH(D96,'Simulador Original'!$G$18:$G$19,0))=FALSE,"D",""))</f>
        <v/>
      </c>
      <c r="F96" s="210">
        <f>IF(E96="C",0,IF(E96 ="D",ROUND(1/((1+'Simulador Original'!$P$13)^A96),9) * 2,ROUND(1/((1+'Simulador Original'!$P$13)^A96),9)))</f>
        <v>0.30320942000000001</v>
      </c>
      <c r="G96" s="210">
        <f t="shared" si="9"/>
        <v>44.577187374000012</v>
      </c>
      <c r="H96" s="139">
        <f>+COUNTIF($E$4:E96,"C")</f>
        <v>16</v>
      </c>
    </row>
    <row r="97" spans="1:8" x14ac:dyDescent="0.25">
      <c r="A97" s="207">
        <f t="shared" si="6"/>
        <v>94</v>
      </c>
      <c r="B97" s="207">
        <f t="shared" si="7"/>
        <v>78</v>
      </c>
      <c r="C97" s="209">
        <f t="shared" si="8"/>
        <v>47557</v>
      </c>
      <c r="D97" s="207">
        <f t="shared" si="5"/>
        <v>3</v>
      </c>
      <c r="E97" s="207" t="str">
        <f>IF(ISERROR(MATCH(D97,'Simulador Original'!$G$16:$G$17,0))=FALSE,"C",IF(ISERROR(MATCH(D97,'Simulador Original'!$G$18:$G$19,0))=FALSE,"D",""))</f>
        <v/>
      </c>
      <c r="F97" s="210">
        <f>IF(E97="C",0,IF(E97 ="D",ROUND(1/((1+'Simulador Original'!$P$13)^A97),9) * 2,ROUND(1/((1+'Simulador Original'!$P$13)^A97),9)))</f>
        <v>0.29934363600000002</v>
      </c>
      <c r="G97" s="210">
        <f t="shared" si="9"/>
        <v>44.876531010000015</v>
      </c>
      <c r="H97" s="139">
        <f>+COUNTIF($E$4:E97,"C")</f>
        <v>16</v>
      </c>
    </row>
    <row r="98" spans="1:8" x14ac:dyDescent="0.25">
      <c r="A98" s="207">
        <f t="shared" si="6"/>
        <v>95</v>
      </c>
      <c r="B98" s="207">
        <f t="shared" si="7"/>
        <v>79</v>
      </c>
      <c r="C98" s="209">
        <f t="shared" si="8"/>
        <v>47588</v>
      </c>
      <c r="D98" s="207">
        <f t="shared" si="5"/>
        <v>4</v>
      </c>
      <c r="E98" s="207" t="str">
        <f>IF(ISERROR(MATCH(D98,'Simulador Original'!$G$16:$G$17,0))=FALSE,"C",IF(ISERROR(MATCH(D98,'Simulador Original'!$G$18:$G$19,0))=FALSE,"D",""))</f>
        <v/>
      </c>
      <c r="F98" s="210">
        <f>IF(E98="C",0,IF(E98 ="D",ROUND(1/((1+'Simulador Original'!$P$13)^A98),9) * 2,ROUND(1/((1+'Simulador Original'!$P$13)^A98),9)))</f>
        <v>0.29552714000000002</v>
      </c>
      <c r="G98" s="210">
        <f t="shared" si="9"/>
        <v>45.172058150000012</v>
      </c>
      <c r="H98" s="139">
        <f>+COUNTIF($E$4:E98,"C")</f>
        <v>16</v>
      </c>
    </row>
    <row r="99" spans="1:8" ht="13.8" thickBot="1" x14ac:dyDescent="0.3">
      <c r="A99" s="215">
        <f t="shared" si="6"/>
        <v>96</v>
      </c>
      <c r="B99" s="207">
        <f t="shared" si="7"/>
        <v>80</v>
      </c>
      <c r="C99" s="216">
        <f t="shared" si="8"/>
        <v>47618</v>
      </c>
      <c r="D99" s="215">
        <f t="shared" si="5"/>
        <v>5</v>
      </c>
      <c r="E99" s="215" t="str">
        <f>IF(ISERROR(MATCH(D99,'Simulador Original'!$G$16:$G$17,0))=FALSE,"C",IF(ISERROR(MATCH(D99,'Simulador Original'!$G$18:$G$19,0))=FALSE,"D",""))</f>
        <v/>
      </c>
      <c r="F99" s="217">
        <f>IF(E99="C",0,IF(E99 ="D",ROUND(1/((1+'Simulador Original'!$P$13)^A99),9) * 2,ROUND(1/((1+'Simulador Original'!$P$13)^A99),9)))</f>
        <v>0.291759302</v>
      </c>
      <c r="G99" s="217">
        <f t="shared" si="9"/>
        <v>45.463817452000015</v>
      </c>
      <c r="H99" s="139">
        <f>+COUNTIF($E$4:E99,"C")</f>
        <v>16</v>
      </c>
    </row>
  </sheetData>
  <mergeCells count="1">
    <mergeCell ref="A1:G1"/>
  </mergeCells>
  <pageMargins left="0.75" right="0.75" top="1" bottom="1" header="0" footer="0"/>
  <pageSetup paperSize="9" orientation="portrait" r:id="rId1"/>
  <headerFooter alignWithMargins="0">
    <oddFooter>&amp;C_x000D_&amp;1#&amp;"Calibri"&amp;8&amp;K000000 Información Interna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7EC90-3071-48C1-9C25-56472232CC6C}">
  <sheetPr codeName="Hoja7">
    <tabColor theme="0" tint="-0.249977111117893"/>
  </sheetPr>
  <dimension ref="A2:AB106"/>
  <sheetViews>
    <sheetView topLeftCell="H27" zoomScale="89" zoomScaleNormal="89" workbookViewId="0">
      <selection activeCell="U32" sqref="U32:U55"/>
    </sheetView>
  </sheetViews>
  <sheetFormatPr baseColWidth="10" defaultColWidth="11.44140625" defaultRowHeight="10.199999999999999" x14ac:dyDescent="0.2"/>
  <cols>
    <col min="1" max="1" width="2.6640625" style="4" bestFit="1" customWidth="1"/>
    <col min="2" max="2" width="1.6640625" style="4" bestFit="1" customWidth="1"/>
    <col min="3" max="3" width="12.44140625" style="4" customWidth="1"/>
    <col min="4" max="4" width="11.33203125" style="4" customWidth="1"/>
    <col min="5" max="5" width="10.44140625" style="4" customWidth="1"/>
    <col min="6" max="6" width="8.5546875" style="4" customWidth="1"/>
    <col min="7" max="7" width="10.33203125" style="4" customWidth="1"/>
    <col min="8" max="8" width="11.6640625" style="4" bestFit="1" customWidth="1"/>
    <col min="9" max="9" width="10.5546875" style="4" customWidth="1"/>
    <col min="10" max="10" width="11.33203125" style="4" customWidth="1"/>
    <col min="11" max="11" width="16.44140625" style="4" customWidth="1"/>
    <col min="12" max="12" width="11.33203125" style="4" customWidth="1"/>
    <col min="13" max="13" width="9.5546875" style="4" customWidth="1"/>
    <col min="14" max="14" width="15.33203125" style="4" customWidth="1"/>
    <col min="15" max="15" width="12.33203125" style="4" customWidth="1"/>
    <col min="16" max="16" width="13.6640625" style="4" bestFit="1" customWidth="1"/>
    <col min="17" max="18" width="13.6640625" style="4" customWidth="1"/>
    <col min="19" max="19" width="13" style="4" customWidth="1"/>
    <col min="20" max="16384" width="11.44140625" style="4"/>
  </cols>
  <sheetData>
    <row r="2" spans="3:19" ht="23.25" customHeight="1" x14ac:dyDescent="0.2">
      <c r="C2" s="316" t="s">
        <v>81</v>
      </c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3:19" ht="26.25" customHeight="1" x14ac:dyDescent="0.2"/>
    <row r="5" spans="3:19" ht="13.8" x14ac:dyDescent="0.3">
      <c r="C5" s="143" t="s">
        <v>19</v>
      </c>
      <c r="D5" s="6"/>
      <c r="E5" s="6"/>
      <c r="F5" s="6"/>
      <c r="G5" s="144">
        <v>49420</v>
      </c>
      <c r="K5" s="145" t="s">
        <v>55</v>
      </c>
      <c r="L5" s="145"/>
      <c r="M5" s="145"/>
      <c r="N5" s="3"/>
      <c r="O5" s="3"/>
      <c r="P5" s="146">
        <v>43105</v>
      </c>
      <c r="Q5" s="76"/>
    </row>
    <row r="6" spans="3:19" ht="13.8" x14ac:dyDescent="0.3">
      <c r="C6" s="143" t="s">
        <v>20</v>
      </c>
      <c r="D6" s="6"/>
      <c r="E6" s="6"/>
      <c r="F6" s="6"/>
      <c r="G6" s="144">
        <v>49420</v>
      </c>
      <c r="K6" s="145" t="s">
        <v>24</v>
      </c>
      <c r="L6" s="145"/>
      <c r="M6" s="145"/>
      <c r="N6" s="147"/>
      <c r="O6" s="147"/>
      <c r="P6" s="7">
        <v>43146</v>
      </c>
      <c r="Q6" s="7"/>
    </row>
    <row r="7" spans="3:19" ht="13.8" x14ac:dyDescent="0.3">
      <c r="C7" s="143" t="s">
        <v>21</v>
      </c>
      <c r="D7" s="6"/>
      <c r="E7" s="6"/>
      <c r="F7" s="6"/>
      <c r="G7" s="144">
        <v>0</v>
      </c>
      <c r="K7" s="5" t="s">
        <v>25</v>
      </c>
      <c r="L7" s="5"/>
      <c r="M7" s="5"/>
      <c r="N7" s="3"/>
      <c r="O7" s="3"/>
      <c r="P7" s="8">
        <v>43174</v>
      </c>
      <c r="Q7" s="7"/>
    </row>
    <row r="8" spans="3:19" ht="13.8" x14ac:dyDescent="0.3">
      <c r="C8" s="143" t="s">
        <v>22</v>
      </c>
      <c r="D8" s="6"/>
      <c r="E8" s="6"/>
      <c r="F8" s="6"/>
      <c r="G8" s="148">
        <v>14.03</v>
      </c>
      <c r="H8" s="143" t="s">
        <v>82</v>
      </c>
      <c r="I8" s="149">
        <v>14.03</v>
      </c>
      <c r="K8" s="5" t="s">
        <v>26</v>
      </c>
      <c r="L8" s="5"/>
      <c r="M8" s="5"/>
      <c r="N8" s="3"/>
      <c r="O8" s="3"/>
      <c r="P8" s="8">
        <v>43997</v>
      </c>
      <c r="Q8" s="7"/>
    </row>
    <row r="9" spans="3:19" ht="13.8" x14ac:dyDescent="0.3">
      <c r="C9" s="143" t="s">
        <v>83</v>
      </c>
      <c r="D9" s="6"/>
      <c r="E9" s="6"/>
      <c r="F9" s="6"/>
      <c r="G9" s="150">
        <v>8.9999999999999998E-4</v>
      </c>
      <c r="K9" s="5" t="s">
        <v>9</v>
      </c>
      <c r="L9" s="5"/>
      <c r="M9" s="5"/>
      <c r="N9" s="3"/>
      <c r="O9" s="3"/>
      <c r="P9" s="5">
        <v>360</v>
      </c>
      <c r="Q9" s="5"/>
      <c r="R9" s="9"/>
    </row>
    <row r="10" spans="3:19" ht="13.8" x14ac:dyDescent="0.3">
      <c r="C10" s="143"/>
      <c r="D10" s="6"/>
      <c r="E10" s="6"/>
      <c r="F10" s="6"/>
      <c r="G10" s="144"/>
      <c r="K10" s="5" t="s">
        <v>27</v>
      </c>
      <c r="L10" s="5"/>
      <c r="M10" s="5"/>
      <c r="N10" s="3"/>
      <c r="O10" s="3"/>
      <c r="P10" s="5">
        <v>30</v>
      </c>
      <c r="Q10" s="5"/>
    </row>
    <row r="11" spans="3:19" ht="13.8" x14ac:dyDescent="0.3">
      <c r="C11" s="143" t="s">
        <v>84</v>
      </c>
      <c r="D11" s="6"/>
      <c r="E11" s="6"/>
      <c r="F11" s="6"/>
      <c r="G11" s="144">
        <v>16.5</v>
      </c>
      <c r="K11" s="5" t="s">
        <v>85</v>
      </c>
      <c r="L11" s="5"/>
      <c r="M11" s="5"/>
      <c r="N11" s="3"/>
      <c r="O11" s="3"/>
      <c r="P11" s="151">
        <v>13.201224</v>
      </c>
      <c r="Q11" s="10" t="s">
        <v>39</v>
      </c>
    </row>
    <row r="12" spans="3:19" ht="13.8" x14ac:dyDescent="0.3">
      <c r="C12" s="5"/>
      <c r="D12" s="6"/>
      <c r="E12" s="6"/>
      <c r="F12" s="6"/>
      <c r="G12" s="1"/>
      <c r="K12" s="5" t="s">
        <v>28</v>
      </c>
      <c r="L12" s="5"/>
      <c r="M12" s="5"/>
      <c r="N12" s="3"/>
      <c r="O12" s="3"/>
      <c r="P12" s="10">
        <v>35.458333333333336</v>
      </c>
      <c r="Q12" s="10" t="s">
        <v>41</v>
      </c>
    </row>
    <row r="13" spans="3:19" ht="13.8" x14ac:dyDescent="0.3">
      <c r="C13" s="143" t="s">
        <v>51</v>
      </c>
      <c r="D13" s="6"/>
      <c r="E13" s="6"/>
      <c r="F13" s="6"/>
      <c r="G13" s="152">
        <v>24</v>
      </c>
      <c r="H13" s="225">
        <v>24</v>
      </c>
      <c r="K13" s="5" t="s">
        <v>86</v>
      </c>
      <c r="L13" s="5"/>
      <c r="M13" s="5"/>
      <c r="N13" s="5"/>
      <c r="O13" s="5"/>
      <c r="P13" s="153">
        <v>1.3002594472222224E-2</v>
      </c>
      <c r="Q13" s="11" t="s">
        <v>40</v>
      </c>
    </row>
    <row r="14" spans="3:19" ht="13.8" x14ac:dyDescent="0.3">
      <c r="C14" s="154" t="s">
        <v>23</v>
      </c>
      <c r="D14" s="6"/>
      <c r="E14" s="6"/>
      <c r="F14" s="6"/>
      <c r="G14" s="152">
        <v>41</v>
      </c>
      <c r="K14" s="5" t="s">
        <v>87</v>
      </c>
      <c r="L14" s="5"/>
      <c r="M14" s="5"/>
      <c r="N14" s="5"/>
      <c r="O14" s="5"/>
      <c r="P14" s="11">
        <v>4.8773686479230145E-2</v>
      </c>
      <c r="Q14" s="12" t="s">
        <v>42</v>
      </c>
    </row>
    <row r="15" spans="3:19" ht="13.8" x14ac:dyDescent="0.3">
      <c r="C15" s="155" t="s">
        <v>88</v>
      </c>
      <c r="D15" s="6"/>
      <c r="E15" s="6"/>
      <c r="F15" s="6"/>
      <c r="G15" s="156"/>
      <c r="K15" s="145" t="s">
        <v>89</v>
      </c>
      <c r="L15" s="145"/>
      <c r="M15" s="145"/>
      <c r="N15" s="145"/>
      <c r="O15" s="145"/>
      <c r="P15" s="157">
        <v>744.51130000000001</v>
      </c>
      <c r="Q15" s="6" t="s">
        <v>43</v>
      </c>
    </row>
    <row r="16" spans="3:19" ht="13.8" x14ac:dyDescent="0.3">
      <c r="C16" s="155" t="s">
        <v>10</v>
      </c>
      <c r="D16" s="6"/>
      <c r="E16" s="6"/>
      <c r="F16" s="6"/>
      <c r="G16" s="152">
        <v>1</v>
      </c>
      <c r="K16" s="5" t="s">
        <v>29</v>
      </c>
      <c r="L16" s="5"/>
      <c r="M16" s="5"/>
      <c r="N16" s="3"/>
      <c r="O16" s="3"/>
      <c r="P16" s="155">
        <v>744.51130000000001</v>
      </c>
    </row>
    <row r="17" spans="1:28" ht="13.8" x14ac:dyDescent="0.3">
      <c r="C17" s="143" t="s">
        <v>11</v>
      </c>
      <c r="D17" s="6"/>
      <c r="E17" s="6"/>
      <c r="F17" s="6"/>
      <c r="G17" s="152">
        <v>8</v>
      </c>
    </row>
    <row r="18" spans="1:28" ht="13.8" x14ac:dyDescent="0.3">
      <c r="C18" s="155" t="s">
        <v>46</v>
      </c>
      <c r="D18" s="6"/>
      <c r="E18" s="6"/>
      <c r="F18" s="6"/>
      <c r="G18" s="152">
        <v>0</v>
      </c>
      <c r="K18" s="158" t="s">
        <v>90</v>
      </c>
      <c r="P18" s="159">
        <v>60.78</v>
      </c>
      <c r="R18" s="93"/>
    </row>
    <row r="19" spans="1:28" ht="13.8" x14ac:dyDescent="0.3">
      <c r="C19" s="143" t="s">
        <v>47</v>
      </c>
      <c r="D19" s="6"/>
      <c r="E19" s="6"/>
      <c r="F19" s="6" t="s">
        <v>52</v>
      </c>
      <c r="G19" s="152">
        <v>0</v>
      </c>
      <c r="S19" s="4">
        <v>994.12</v>
      </c>
    </row>
    <row r="20" spans="1:28" ht="14.4" thickBot="1" x14ac:dyDescent="0.35">
      <c r="C20" s="5"/>
      <c r="D20" s="6"/>
      <c r="E20" s="6"/>
      <c r="F20" s="6"/>
      <c r="G20" s="95"/>
      <c r="I20" s="96" t="s">
        <v>91</v>
      </c>
      <c r="S20" s="4">
        <v>976.59</v>
      </c>
    </row>
    <row r="21" spans="1:28" ht="13.5" customHeight="1" thickBot="1" x14ac:dyDescent="0.35">
      <c r="C21" s="5"/>
      <c r="D21" s="6"/>
      <c r="E21" s="6"/>
      <c r="F21" s="5"/>
      <c r="G21" s="1"/>
      <c r="I21" s="6"/>
      <c r="N21" s="160"/>
      <c r="O21" s="161"/>
      <c r="P21" s="161"/>
      <c r="Q21" s="162"/>
      <c r="R21" s="4">
        <v>-12889.26</v>
      </c>
      <c r="S21" s="4">
        <v>17.529999999999973</v>
      </c>
    </row>
    <row r="22" spans="1:28" ht="13.8" x14ac:dyDescent="0.3">
      <c r="C22" s="5"/>
      <c r="D22" s="163"/>
      <c r="E22" s="164"/>
      <c r="F22" s="164"/>
      <c r="G22" s="164"/>
      <c r="H22" s="165"/>
      <c r="I22" s="165" t="s">
        <v>102</v>
      </c>
      <c r="J22" s="166" t="s">
        <v>103</v>
      </c>
      <c r="L22" s="14" t="s">
        <v>48</v>
      </c>
      <c r="N22" s="167" t="s">
        <v>34</v>
      </c>
      <c r="O22" s="3"/>
      <c r="P22" s="168">
        <v>-12889.26</v>
      </c>
      <c r="Q22" s="169"/>
      <c r="R22" s="4">
        <v>0</v>
      </c>
    </row>
    <row r="23" spans="1:28" ht="13.8" x14ac:dyDescent="0.3">
      <c r="C23" s="5"/>
      <c r="D23" s="170"/>
      <c r="E23" s="15"/>
      <c r="F23" s="16" t="s">
        <v>30</v>
      </c>
      <c r="G23" s="15"/>
      <c r="H23" s="15"/>
      <c r="I23" s="171">
        <v>31.021304166666667</v>
      </c>
      <c r="J23" s="171">
        <v>7.0419396889817229E-2</v>
      </c>
      <c r="L23" s="13"/>
      <c r="M23" s="13"/>
      <c r="N23" s="167" t="s">
        <v>35</v>
      </c>
      <c r="O23" s="3"/>
      <c r="P23" s="168">
        <v>851</v>
      </c>
      <c r="Q23" s="169"/>
      <c r="S23" s="13"/>
    </row>
    <row r="24" spans="1:28" ht="13.8" x14ac:dyDescent="0.3">
      <c r="C24" s="5"/>
      <c r="D24" s="170"/>
      <c r="E24" s="15"/>
      <c r="F24" s="16" t="s">
        <v>31</v>
      </c>
      <c r="G24" s="15"/>
      <c r="H24" s="15"/>
      <c r="I24" s="171">
        <v>2877.54</v>
      </c>
      <c r="J24" s="172" t="s">
        <v>94</v>
      </c>
      <c r="K24" s="3" t="s">
        <v>95</v>
      </c>
      <c r="N24" s="167" t="s">
        <v>36</v>
      </c>
      <c r="O24" s="3"/>
      <c r="P24" s="168">
        <v>-35419.79</v>
      </c>
      <c r="Q24" s="169"/>
      <c r="R24" s="236">
        <v>0.36391364570754181</v>
      </c>
      <c r="S24" s="237">
        <v>-35418.457516040544</v>
      </c>
    </row>
    <row r="25" spans="1:28" ht="13.8" x14ac:dyDescent="0.3">
      <c r="C25" s="7"/>
      <c r="D25" s="170"/>
      <c r="E25" s="15"/>
      <c r="F25" s="16" t="s">
        <v>33</v>
      </c>
      <c r="G25" s="15"/>
      <c r="H25" s="15"/>
      <c r="I25" s="171">
        <v>44.47</v>
      </c>
      <c r="J25" s="171">
        <v>47.002499999999998</v>
      </c>
      <c r="K25" s="171">
        <v>2.5324999999999989</v>
      </c>
      <c r="L25" s="13"/>
      <c r="M25" s="13"/>
      <c r="N25" s="167" t="s">
        <v>37</v>
      </c>
      <c r="O25" s="3"/>
      <c r="P25" s="173">
        <v>-1727.5537326201711</v>
      </c>
      <c r="Q25" s="169"/>
      <c r="R25" s="4" t="s">
        <v>104</v>
      </c>
    </row>
    <row r="26" spans="1:28" ht="13.8" x14ac:dyDescent="0.3">
      <c r="C26" s="17"/>
      <c r="D26" s="170"/>
      <c r="E26" s="15"/>
      <c r="F26" s="16" t="s">
        <v>96</v>
      </c>
      <c r="G26" s="15"/>
      <c r="H26" s="15"/>
      <c r="I26" s="171">
        <v>16.5</v>
      </c>
      <c r="J26" s="172"/>
      <c r="K26" s="13"/>
      <c r="N26" s="167" t="s">
        <v>38</v>
      </c>
      <c r="P26" s="173">
        <v>0</v>
      </c>
      <c r="Q26" s="174">
        <v>0</v>
      </c>
      <c r="R26" s="175">
        <v>0</v>
      </c>
      <c r="S26" s="13"/>
    </row>
    <row r="27" spans="1:28" ht="13.8" x14ac:dyDescent="0.3">
      <c r="C27" s="5"/>
      <c r="D27" s="170"/>
      <c r="E27" s="15"/>
      <c r="F27" s="15"/>
      <c r="G27" s="15"/>
      <c r="H27" s="15"/>
      <c r="I27" s="176"/>
      <c r="J27" s="172"/>
      <c r="K27" s="13"/>
      <c r="L27" s="13"/>
      <c r="M27" s="13"/>
      <c r="N27" s="177"/>
      <c r="O27" s="3"/>
      <c r="P27" s="178"/>
      <c r="Q27" s="169"/>
    </row>
    <row r="28" spans="1:28" ht="40.5" customHeight="1" x14ac:dyDescent="0.4">
      <c r="D28" s="170"/>
      <c r="E28" s="15"/>
      <c r="F28" s="16" t="s">
        <v>32</v>
      </c>
      <c r="G28" s="15"/>
      <c r="H28" s="15"/>
      <c r="I28" s="171">
        <v>2969.5313041666664</v>
      </c>
      <c r="J28" s="171">
        <v>2972.0638041666666</v>
      </c>
      <c r="K28" s="18"/>
      <c r="L28" s="18"/>
      <c r="M28" s="18"/>
      <c r="N28" s="179" t="s">
        <v>97</v>
      </c>
      <c r="O28" s="180"/>
      <c r="P28" s="181"/>
      <c r="Q28" s="182"/>
      <c r="R28" s="235">
        <v>-12889.26</v>
      </c>
      <c r="S28" s="93" t="s">
        <v>107</v>
      </c>
    </row>
    <row r="29" spans="1:28" ht="14.4" thickBot="1" x14ac:dyDescent="0.35">
      <c r="C29" s="5"/>
      <c r="D29" s="183"/>
      <c r="E29" s="184"/>
      <c r="F29" s="184"/>
      <c r="G29" s="184"/>
      <c r="H29" s="184"/>
      <c r="I29" s="184"/>
      <c r="J29" s="185"/>
      <c r="K29" s="19">
        <v>2018.81</v>
      </c>
      <c r="L29" s="19"/>
      <c r="M29" s="19"/>
      <c r="N29" s="186"/>
      <c r="O29" s="187"/>
      <c r="P29" s="187"/>
      <c r="Q29" s="188"/>
      <c r="S29" s="9" t="s">
        <v>109</v>
      </c>
    </row>
    <row r="30" spans="1:28" ht="13.8" x14ac:dyDescent="0.3">
      <c r="C30" s="116" t="s">
        <v>99</v>
      </c>
      <c r="D30" s="15"/>
      <c r="E30" s="15"/>
      <c r="F30" s="15"/>
      <c r="G30" s="15"/>
      <c r="H30" s="15"/>
      <c r="I30" s="15"/>
      <c r="J30" s="54"/>
      <c r="K30" s="58"/>
      <c r="L30" s="58"/>
      <c r="M30" s="58"/>
      <c r="N30" s="3"/>
      <c r="O30" s="3"/>
      <c r="P30" s="3"/>
      <c r="Q30" s="3"/>
      <c r="R30" s="13"/>
      <c r="V30" s="5" t="s">
        <v>56</v>
      </c>
    </row>
    <row r="31" spans="1:28" ht="43.5" customHeight="1" x14ac:dyDescent="0.2">
      <c r="C31" s="20" t="s">
        <v>6</v>
      </c>
      <c r="D31" s="20" t="s">
        <v>50</v>
      </c>
      <c r="E31" s="20" t="s">
        <v>5</v>
      </c>
      <c r="F31" s="20" t="s">
        <v>4</v>
      </c>
      <c r="G31" s="20" t="s">
        <v>1</v>
      </c>
      <c r="H31" s="20" t="s">
        <v>7</v>
      </c>
      <c r="I31" s="20" t="s">
        <v>3</v>
      </c>
      <c r="J31" s="20" t="s">
        <v>0</v>
      </c>
      <c r="K31" s="20" t="s">
        <v>2</v>
      </c>
      <c r="L31" s="20" t="s">
        <v>44</v>
      </c>
      <c r="M31" s="20" t="s">
        <v>45</v>
      </c>
      <c r="N31" s="20" t="s">
        <v>75</v>
      </c>
      <c r="O31" s="20" t="s">
        <v>100</v>
      </c>
      <c r="P31" s="20" t="s">
        <v>101</v>
      </c>
      <c r="Q31" s="20" t="s">
        <v>32</v>
      </c>
      <c r="R31" s="20" t="s">
        <v>8</v>
      </c>
      <c r="S31" s="20" t="s">
        <v>49</v>
      </c>
      <c r="T31" s="20" t="s">
        <v>61</v>
      </c>
      <c r="V31" s="20" t="s">
        <v>57</v>
      </c>
      <c r="W31" s="20" t="s">
        <v>58</v>
      </c>
      <c r="X31" s="20" t="s">
        <v>3</v>
      </c>
      <c r="Y31" s="20" t="s">
        <v>0</v>
      </c>
      <c r="Z31" s="20" t="s">
        <v>2</v>
      </c>
      <c r="AA31" s="20" t="s">
        <v>59</v>
      </c>
      <c r="AB31" s="20" t="s">
        <v>60</v>
      </c>
    </row>
    <row r="32" spans="1:28" ht="13.8" x14ac:dyDescent="0.3">
      <c r="A32" s="24">
        <v>1</v>
      </c>
      <c r="B32" s="24">
        <v>1</v>
      </c>
      <c r="C32" s="8">
        <v>43174</v>
      </c>
      <c r="D32" s="25">
        <v>1</v>
      </c>
      <c r="E32" s="25">
        <v>1</v>
      </c>
      <c r="F32" s="26">
        <v>360</v>
      </c>
      <c r="G32" s="189">
        <v>14.03</v>
      </c>
      <c r="H32" s="25">
        <v>28</v>
      </c>
      <c r="I32" s="22">
        <v>49420</v>
      </c>
      <c r="J32" s="222">
        <v>2309.52</v>
      </c>
      <c r="K32" s="190">
        <v>507.24</v>
      </c>
      <c r="L32" s="191">
        <v>31.021304166666667</v>
      </c>
      <c r="M32" s="191">
        <v>538.26130416666672</v>
      </c>
      <c r="N32" s="21">
        <v>2847.7813041666668</v>
      </c>
      <c r="O32" s="21">
        <v>16.5</v>
      </c>
      <c r="P32" s="21">
        <v>105.25</v>
      </c>
      <c r="Q32" s="192">
        <v>2969.5313041666668</v>
      </c>
      <c r="R32" s="22">
        <v>47110.48</v>
      </c>
      <c r="S32" s="22">
        <v>0</v>
      </c>
      <c r="T32" s="193">
        <v>60.78</v>
      </c>
      <c r="U32" s="237">
        <f>+'Simulador Original'!J32-'Simulador Original (2)'!J32</f>
        <v>-2036.0155357142858</v>
      </c>
      <c r="V32" s="25">
        <v>28</v>
      </c>
      <c r="W32" s="194">
        <v>0.98984040866222933</v>
      </c>
      <c r="X32" s="21">
        <v>744.51130000000001</v>
      </c>
      <c r="Y32" s="21">
        <v>-7.5711463425560401</v>
      </c>
      <c r="Z32" s="26">
        <v>7.6415657394458574</v>
      </c>
      <c r="AA32" s="21">
        <v>7.0419396889817229E-2</v>
      </c>
      <c r="AB32" s="21">
        <v>752.08244634255607</v>
      </c>
    </row>
    <row r="33" spans="1:28" ht="13.8" x14ac:dyDescent="0.3">
      <c r="A33" s="24">
        <v>2</v>
      </c>
      <c r="B33" s="24">
        <v>1</v>
      </c>
      <c r="C33" s="8">
        <v>43205</v>
      </c>
      <c r="D33" s="25">
        <v>2</v>
      </c>
      <c r="E33" s="25">
        <v>2</v>
      </c>
      <c r="F33" s="26">
        <v>360</v>
      </c>
      <c r="G33" s="189">
        <v>14.03</v>
      </c>
      <c r="H33" s="25">
        <v>31</v>
      </c>
      <c r="I33" s="22">
        <v>47110.48</v>
      </c>
      <c r="J33" s="190">
        <v>2341.9</v>
      </c>
      <c r="K33" s="190">
        <v>535.64</v>
      </c>
      <c r="L33" s="191">
        <v>31.021304166666667</v>
      </c>
      <c r="M33" s="191">
        <v>566.6613041666667</v>
      </c>
      <c r="N33" s="21">
        <v>2908.5613041666666</v>
      </c>
      <c r="O33" s="21">
        <v>16.5</v>
      </c>
      <c r="P33" s="21">
        <v>44.47</v>
      </c>
      <c r="Q33" s="195">
        <v>2969.5313041666664</v>
      </c>
      <c r="R33" s="22">
        <v>44768.58</v>
      </c>
      <c r="S33" s="22">
        <v>0</v>
      </c>
      <c r="T33" s="193">
        <v>0</v>
      </c>
      <c r="U33" s="237">
        <f>+'Simulador Original'!J33-'Simulador Original (2)'!J33</f>
        <v>-1703.1955357142861</v>
      </c>
      <c r="V33" s="25">
        <v>59</v>
      </c>
      <c r="W33" s="194">
        <v>0.9787126441324614</v>
      </c>
      <c r="X33" s="21">
        <v>752.08244634255607</v>
      </c>
      <c r="Y33" s="21">
        <v>-8.4806056869744406</v>
      </c>
      <c r="Z33" s="26">
        <v>8.551025083864257</v>
      </c>
      <c r="AA33" s="21">
        <v>7.0419396889817229E-2</v>
      </c>
      <c r="AB33" s="21">
        <v>760.56305202953047</v>
      </c>
    </row>
    <row r="34" spans="1:28" ht="13.8" x14ac:dyDescent="0.3">
      <c r="A34" s="24">
        <v>3</v>
      </c>
      <c r="B34" s="24">
        <v>1</v>
      </c>
      <c r="C34" s="8">
        <v>43235</v>
      </c>
      <c r="D34" s="25">
        <v>3</v>
      </c>
      <c r="E34" s="25">
        <v>3</v>
      </c>
      <c r="F34" s="26">
        <v>360</v>
      </c>
      <c r="G34" s="189">
        <v>14.03</v>
      </c>
      <c r="H34" s="25">
        <v>30</v>
      </c>
      <c r="I34" s="22">
        <v>44768.58</v>
      </c>
      <c r="J34" s="190">
        <v>2385.04</v>
      </c>
      <c r="K34" s="190">
        <v>492.5</v>
      </c>
      <c r="L34" s="191">
        <v>31.021304166666667</v>
      </c>
      <c r="M34" s="191">
        <v>523.52130416666671</v>
      </c>
      <c r="N34" s="21">
        <v>2908.5613041666666</v>
      </c>
      <c r="O34" s="21">
        <v>16.5</v>
      </c>
      <c r="P34" s="21">
        <v>44.47</v>
      </c>
      <c r="Q34" s="195">
        <v>2969.5313041666664</v>
      </c>
      <c r="R34" s="22">
        <v>42383.54</v>
      </c>
      <c r="S34" s="22">
        <v>0</v>
      </c>
      <c r="T34" s="193">
        <v>0</v>
      </c>
      <c r="U34" s="237">
        <f>+'Simulador Original'!J34-'Simulador Original (2)'!J34</f>
        <v>-1739.3255357142857</v>
      </c>
      <c r="V34" s="25">
        <v>89</v>
      </c>
      <c r="W34" s="194">
        <v>0.96806296423198979</v>
      </c>
      <c r="X34" s="21">
        <v>760.56305202953047</v>
      </c>
      <c r="Y34" s="21">
        <v>-8.2965498473742993</v>
      </c>
      <c r="Z34" s="26">
        <v>8.3669692442641157</v>
      </c>
      <c r="AA34" s="21">
        <v>7.0419396889817229E-2</v>
      </c>
      <c r="AB34" s="21">
        <v>768.85960187690478</v>
      </c>
    </row>
    <row r="35" spans="1:28" ht="13.8" x14ac:dyDescent="0.3">
      <c r="A35" s="24">
        <v>4</v>
      </c>
      <c r="B35" s="24">
        <v>1</v>
      </c>
      <c r="C35" s="8">
        <v>43266</v>
      </c>
      <c r="D35" s="25">
        <v>4</v>
      </c>
      <c r="E35" s="25">
        <v>4</v>
      </c>
      <c r="F35" s="26">
        <v>360</v>
      </c>
      <c r="G35" s="189">
        <v>14.03</v>
      </c>
      <c r="H35" s="25">
        <v>31</v>
      </c>
      <c r="I35" s="22">
        <v>42383.54</v>
      </c>
      <c r="J35" s="190">
        <v>2395.65</v>
      </c>
      <c r="K35" s="190">
        <v>481.89</v>
      </c>
      <c r="L35" s="191">
        <v>31.021304166666667</v>
      </c>
      <c r="M35" s="191">
        <v>512.9113041666667</v>
      </c>
      <c r="N35" s="21">
        <v>2908.5613041666666</v>
      </c>
      <c r="O35" s="21">
        <v>16.5</v>
      </c>
      <c r="P35" s="21">
        <v>44.47</v>
      </c>
      <c r="Q35" s="195">
        <v>2969.5313041666664</v>
      </c>
      <c r="R35" s="22">
        <v>39987.89</v>
      </c>
      <c r="S35" s="22">
        <v>0</v>
      </c>
      <c r="T35" s="193">
        <v>0</v>
      </c>
      <c r="U35" s="237">
        <f>+'Simulador Original'!J35-'Simulador Original (2)'!J35</f>
        <v>-1731.6655357142859</v>
      </c>
      <c r="V35" s="25">
        <v>120</v>
      </c>
      <c r="W35" s="194">
        <v>0.95718002126290902</v>
      </c>
      <c r="X35" s="21">
        <v>768.85960187690478</v>
      </c>
      <c r="Y35" s="21">
        <v>-8.671358547259608</v>
      </c>
      <c r="Z35" s="26">
        <v>8.7417779441494243</v>
      </c>
      <c r="AA35" s="21">
        <v>7.0419396889817229E-2</v>
      </c>
      <c r="AB35" s="21">
        <v>777.53096042416439</v>
      </c>
    </row>
    <row r="36" spans="1:28" ht="13.8" x14ac:dyDescent="0.3">
      <c r="A36" s="24">
        <v>5</v>
      </c>
      <c r="B36" s="24">
        <v>1</v>
      </c>
      <c r="C36" s="8">
        <v>43296</v>
      </c>
      <c r="D36" s="25">
        <v>5</v>
      </c>
      <c r="E36" s="25">
        <v>5</v>
      </c>
      <c r="F36" s="26">
        <v>360</v>
      </c>
      <c r="G36" s="189">
        <v>14.03</v>
      </c>
      <c r="H36" s="25">
        <v>30</v>
      </c>
      <c r="I36" s="22">
        <v>39987.89</v>
      </c>
      <c r="J36" s="190">
        <v>2437.63</v>
      </c>
      <c r="K36" s="190">
        <v>439.91</v>
      </c>
      <c r="L36" s="191">
        <v>31.021304166666667</v>
      </c>
      <c r="M36" s="191">
        <v>470.93130416666668</v>
      </c>
      <c r="N36" s="21">
        <v>2908.5613041666666</v>
      </c>
      <c r="O36" s="21">
        <v>16.5</v>
      </c>
      <c r="P36" s="21">
        <v>44.47</v>
      </c>
      <c r="Q36" s="195">
        <v>2969.5313041666664</v>
      </c>
      <c r="R36" s="22">
        <v>37550.26</v>
      </c>
      <c r="S36" s="22">
        <v>0</v>
      </c>
      <c r="T36" s="193">
        <v>0</v>
      </c>
      <c r="U36" s="237">
        <f>+'Simulador Original'!J36-'Simulador Original (2)'!J36</f>
        <v>-1777.555535714286</v>
      </c>
      <c r="V36" s="25">
        <v>150</v>
      </c>
      <c r="W36" s="194">
        <v>0.94676464459981058</v>
      </c>
      <c r="X36" s="21">
        <v>777.53096042416439</v>
      </c>
      <c r="Y36" s="21">
        <v>-8.483214144697909</v>
      </c>
      <c r="Z36" s="26">
        <v>8.5536335415877254</v>
      </c>
      <c r="AA36" s="21">
        <v>7.0419396889817229E-2</v>
      </c>
      <c r="AB36" s="21">
        <v>786.01417456886224</v>
      </c>
    </row>
    <row r="37" spans="1:28" ht="13.8" x14ac:dyDescent="0.3">
      <c r="A37" s="24">
        <v>6</v>
      </c>
      <c r="B37" s="24">
        <v>1</v>
      </c>
      <c r="C37" s="8">
        <v>43358</v>
      </c>
      <c r="D37" s="25">
        <v>7</v>
      </c>
      <c r="E37" s="25">
        <v>6</v>
      </c>
      <c r="F37" s="26">
        <v>360</v>
      </c>
      <c r="G37" s="189">
        <v>14.03</v>
      </c>
      <c r="H37" s="25">
        <v>62</v>
      </c>
      <c r="I37" s="22">
        <v>37550.26</v>
      </c>
      <c r="J37" s="190">
        <v>1974.34</v>
      </c>
      <c r="K37" s="190">
        <v>858.73</v>
      </c>
      <c r="L37" s="191">
        <v>31.021304166666667</v>
      </c>
      <c r="M37" s="191">
        <v>889.75130416666673</v>
      </c>
      <c r="N37" s="21">
        <v>2864.0913041666663</v>
      </c>
      <c r="O37" s="21">
        <v>16.5</v>
      </c>
      <c r="P37" s="21">
        <v>88.94</v>
      </c>
      <c r="Q37" s="195">
        <v>2969.5313041666664</v>
      </c>
      <c r="R37" s="22">
        <v>35575.919999999998</v>
      </c>
      <c r="S37" s="22">
        <v>0</v>
      </c>
      <c r="T37" s="193">
        <v>44.47</v>
      </c>
      <c r="U37" s="237">
        <f>+'Simulador Original'!J37-'Simulador Original (2)'!J37</f>
        <v>-1296.3055357142857</v>
      </c>
      <c r="V37" s="25">
        <v>212</v>
      </c>
      <c r="W37" s="194">
        <v>0.925597283245993</v>
      </c>
      <c r="X37" s="21">
        <v>786.01417456886224</v>
      </c>
      <c r="Y37" s="21">
        <v>-17.904834380837592</v>
      </c>
      <c r="Z37" s="26">
        <v>17.97525377772741</v>
      </c>
      <c r="AA37" s="21">
        <v>7.0419396889817229E-2</v>
      </c>
      <c r="AB37" s="21">
        <v>803.91900894969979</v>
      </c>
    </row>
    <row r="38" spans="1:28" ht="13.8" x14ac:dyDescent="0.3">
      <c r="A38" s="24">
        <v>7</v>
      </c>
      <c r="B38" s="24">
        <v>1</v>
      </c>
      <c r="C38" s="8">
        <v>43388</v>
      </c>
      <c r="D38" s="25">
        <v>8</v>
      </c>
      <c r="E38" s="25">
        <v>7</v>
      </c>
      <c r="F38" s="26">
        <v>360</v>
      </c>
      <c r="G38" s="189">
        <v>14.03</v>
      </c>
      <c r="H38" s="25">
        <v>30</v>
      </c>
      <c r="I38" s="22">
        <v>35575.919999999998</v>
      </c>
      <c r="J38" s="190">
        <v>2486.17</v>
      </c>
      <c r="K38" s="190">
        <v>391.37</v>
      </c>
      <c r="L38" s="191">
        <v>31.021304166666667</v>
      </c>
      <c r="M38" s="191">
        <v>422.39130416666666</v>
      </c>
      <c r="N38" s="21">
        <v>2908.5613041666666</v>
      </c>
      <c r="O38" s="21">
        <v>16.5</v>
      </c>
      <c r="P38" s="21">
        <v>44.47</v>
      </c>
      <c r="Q38" s="195">
        <v>2969.5313041666664</v>
      </c>
      <c r="R38" s="22">
        <v>33089.75</v>
      </c>
      <c r="S38" s="22">
        <v>0</v>
      </c>
      <c r="T38" s="193">
        <v>0</v>
      </c>
      <c r="U38" s="237">
        <f>+'Simulador Original'!J38-'Simulador Original (2)'!J38</f>
        <v>-2143.255535714286</v>
      </c>
      <c r="V38" s="25">
        <v>242</v>
      </c>
      <c r="W38" s="194">
        <v>0.91552556828204301</v>
      </c>
      <c r="X38" s="21">
        <v>803.91900894969979</v>
      </c>
      <c r="Y38" s="21">
        <v>-8.7735095907363938</v>
      </c>
      <c r="Z38" s="26">
        <v>8.8439289876262102</v>
      </c>
      <c r="AA38" s="21">
        <v>7.0419396889817229E-2</v>
      </c>
      <c r="AB38" s="21">
        <v>812.69251854043614</v>
      </c>
    </row>
    <row r="39" spans="1:28" ht="13.8" x14ac:dyDescent="0.3">
      <c r="A39" s="24">
        <v>8</v>
      </c>
      <c r="B39" s="24">
        <v>1</v>
      </c>
      <c r="C39" s="8">
        <v>43419</v>
      </c>
      <c r="D39" s="25">
        <v>9</v>
      </c>
      <c r="E39" s="25">
        <v>8</v>
      </c>
      <c r="F39" s="26">
        <v>360</v>
      </c>
      <c r="G39" s="189">
        <v>14.03</v>
      </c>
      <c r="H39" s="25">
        <v>31</v>
      </c>
      <c r="I39" s="22">
        <v>33089.75</v>
      </c>
      <c r="J39" s="190">
        <v>2501.3199999999997</v>
      </c>
      <c r="K39" s="190">
        <v>376.22</v>
      </c>
      <c r="L39" s="191">
        <v>31.021304166666667</v>
      </c>
      <c r="M39" s="191">
        <v>407.24130416666668</v>
      </c>
      <c r="N39" s="21">
        <v>2908.5613041666666</v>
      </c>
      <c r="O39" s="21">
        <v>16.5</v>
      </c>
      <c r="P39" s="21">
        <v>44.47</v>
      </c>
      <c r="Q39" s="195">
        <v>2969.5313041666664</v>
      </c>
      <c r="R39" s="22">
        <v>30588.43</v>
      </c>
      <c r="S39" s="22">
        <v>0</v>
      </c>
      <c r="T39" s="193">
        <v>0</v>
      </c>
      <c r="U39" s="237">
        <f>+'Simulador Original'!J39-'Simulador Original (2)'!J39</f>
        <v>-1791.7355357142856</v>
      </c>
      <c r="V39" s="25">
        <v>273</v>
      </c>
      <c r="W39" s="194">
        <v>0.90523324958534201</v>
      </c>
      <c r="X39" s="21">
        <v>812.69251854043614</v>
      </c>
      <c r="Y39" s="21">
        <v>-9.1697299315560414</v>
      </c>
      <c r="Z39" s="26">
        <v>9.2401493284458578</v>
      </c>
      <c r="AA39" s="21">
        <v>7.0419396889817229E-2</v>
      </c>
      <c r="AB39" s="21">
        <v>821.86224847199219</v>
      </c>
    </row>
    <row r="40" spans="1:28" ht="13.8" x14ac:dyDescent="0.3">
      <c r="A40" s="24">
        <v>9</v>
      </c>
      <c r="B40" s="24">
        <v>1</v>
      </c>
      <c r="C40" s="8">
        <v>43449</v>
      </c>
      <c r="D40" s="25">
        <v>10</v>
      </c>
      <c r="E40" s="25">
        <v>9</v>
      </c>
      <c r="F40" s="26">
        <v>360</v>
      </c>
      <c r="G40" s="189">
        <v>14.03</v>
      </c>
      <c r="H40" s="25">
        <v>30</v>
      </c>
      <c r="I40" s="22">
        <v>30588.43</v>
      </c>
      <c r="J40" s="190">
        <v>2541.04</v>
      </c>
      <c r="K40" s="190">
        <v>336.5</v>
      </c>
      <c r="L40" s="191">
        <v>31.021304166666667</v>
      </c>
      <c r="M40" s="191">
        <v>367.52130416666665</v>
      </c>
      <c r="N40" s="21">
        <v>2908.5613041666666</v>
      </c>
      <c r="O40" s="21">
        <v>16.5</v>
      </c>
      <c r="P40" s="21">
        <v>44.47</v>
      </c>
      <c r="Q40" s="195">
        <v>2969.5313041666664</v>
      </c>
      <c r="R40" s="22">
        <v>28047.39</v>
      </c>
      <c r="S40" s="22">
        <v>0</v>
      </c>
      <c r="T40" s="193">
        <v>0</v>
      </c>
      <c r="U40" s="237">
        <f>+'Simulador Original'!J40-'Simulador Original (2)'!J40</f>
        <v>-1854.7555357142858</v>
      </c>
      <c r="V40" s="25">
        <v>303</v>
      </c>
      <c r="W40" s="194">
        <v>0.89538312207228332</v>
      </c>
      <c r="X40" s="21">
        <v>821.86224847199219</v>
      </c>
      <c r="Y40" s="21">
        <v>-8.9709035251707157</v>
      </c>
      <c r="Z40" s="26">
        <v>9.041322922060532</v>
      </c>
      <c r="AA40" s="21">
        <v>7.0419396889817229E-2</v>
      </c>
      <c r="AB40" s="21">
        <v>830.83315199716287</v>
      </c>
    </row>
    <row r="41" spans="1:28" ht="13.8" x14ac:dyDescent="0.3">
      <c r="A41" s="24">
        <v>10</v>
      </c>
      <c r="B41" s="24">
        <v>1</v>
      </c>
      <c r="C41" s="8">
        <v>43511</v>
      </c>
      <c r="D41" s="25">
        <v>12</v>
      </c>
      <c r="E41" s="25">
        <v>10</v>
      </c>
      <c r="F41" s="26">
        <v>360</v>
      </c>
      <c r="G41" s="189">
        <v>14.03</v>
      </c>
      <c r="H41" s="25">
        <v>62</v>
      </c>
      <c r="I41" s="22">
        <v>28047.39</v>
      </c>
      <c r="J41" s="190">
        <v>2191.6600000000003</v>
      </c>
      <c r="K41" s="190">
        <v>641.41</v>
      </c>
      <c r="L41" s="191">
        <v>31.021304166666667</v>
      </c>
      <c r="M41" s="191">
        <v>672.43130416666668</v>
      </c>
      <c r="N41" s="21">
        <v>2864.0913041666668</v>
      </c>
      <c r="O41" s="21">
        <v>16.5</v>
      </c>
      <c r="P41" s="21">
        <v>88.94</v>
      </c>
      <c r="Q41" s="195">
        <v>2969.5313041666668</v>
      </c>
      <c r="R41" s="22">
        <v>25855.73</v>
      </c>
      <c r="S41" s="22">
        <v>0</v>
      </c>
      <c r="T41" s="193">
        <v>44.47</v>
      </c>
      <c r="U41" s="237">
        <f>+'Simulador Original'!J41-'Simulador Original (2)'!J41</f>
        <v>-1487.985535714286</v>
      </c>
      <c r="V41" s="25">
        <v>365</v>
      </c>
      <c r="W41" s="194">
        <v>0.8753645269513971</v>
      </c>
      <c r="X41" s="21">
        <v>830.83315199716287</v>
      </c>
      <c r="Y41" s="21">
        <v>-18.929793623810326</v>
      </c>
      <c r="Z41" s="26">
        <v>19.000213020700144</v>
      </c>
      <c r="AA41" s="21">
        <v>7.0419396889817229E-2</v>
      </c>
      <c r="AB41" s="21">
        <v>849.76294562097314</v>
      </c>
    </row>
    <row r="42" spans="1:28" ht="13.8" x14ac:dyDescent="0.3">
      <c r="A42" s="24">
        <v>11</v>
      </c>
      <c r="B42" s="24">
        <v>1</v>
      </c>
      <c r="C42" s="8">
        <v>43539</v>
      </c>
      <c r="D42" s="25">
        <v>13</v>
      </c>
      <c r="E42" s="25">
        <v>11</v>
      </c>
      <c r="F42" s="26">
        <v>360</v>
      </c>
      <c r="G42" s="189">
        <v>14.03</v>
      </c>
      <c r="H42" s="25">
        <v>28</v>
      </c>
      <c r="I42" s="22">
        <v>25855.73</v>
      </c>
      <c r="J42" s="190">
        <v>2612.16</v>
      </c>
      <c r="K42" s="190">
        <v>265.38</v>
      </c>
      <c r="L42" s="191">
        <v>31.021304166666667</v>
      </c>
      <c r="M42" s="191">
        <v>296.40130416666665</v>
      </c>
      <c r="N42" s="21">
        <v>2908.5613041666666</v>
      </c>
      <c r="O42" s="21">
        <v>16.5</v>
      </c>
      <c r="P42" s="21">
        <v>44.47</v>
      </c>
      <c r="Q42" s="195">
        <v>2969.5313041666664</v>
      </c>
      <c r="R42" s="22">
        <v>23243.57</v>
      </c>
      <c r="S42" s="22">
        <v>0</v>
      </c>
      <c r="T42" s="193">
        <v>0</v>
      </c>
      <c r="U42" s="237">
        <f>+'Simulador Original'!J42-'Simulador Original (2)'!J42</f>
        <v>-2205.6755357142856</v>
      </c>
      <c r="V42" s="25">
        <v>393</v>
      </c>
      <c r="W42" s="194">
        <v>0.86647118108598997</v>
      </c>
      <c r="X42" s="21">
        <v>849.76294562097314</v>
      </c>
      <c r="Y42" s="21">
        <v>-8.6514353444792143</v>
      </c>
      <c r="Z42" s="26">
        <v>8.7218547413690306</v>
      </c>
      <c r="AA42" s="21">
        <v>7.0419396889817229E-2</v>
      </c>
      <c r="AB42" s="21">
        <v>858.41438096545232</v>
      </c>
    </row>
    <row r="43" spans="1:28" s="203" customFormat="1" ht="13.8" x14ac:dyDescent="0.3">
      <c r="A43" s="24">
        <v>12</v>
      </c>
      <c r="B43" s="24">
        <v>1</v>
      </c>
      <c r="C43" s="196">
        <v>43570</v>
      </c>
      <c r="D43" s="197">
        <v>14</v>
      </c>
      <c r="E43" s="197">
        <v>12</v>
      </c>
      <c r="F43" s="198">
        <v>360</v>
      </c>
      <c r="G43" s="199">
        <v>14.03</v>
      </c>
      <c r="H43" s="197">
        <v>31</v>
      </c>
      <c r="I43" s="200">
        <v>23243.57</v>
      </c>
      <c r="J43" s="201">
        <v>2613.27</v>
      </c>
      <c r="K43" s="201">
        <v>264.27</v>
      </c>
      <c r="L43" s="201">
        <v>31.021304166666667</v>
      </c>
      <c r="M43" s="201">
        <v>295.29130416666663</v>
      </c>
      <c r="N43" s="201">
        <v>2908.5613041666666</v>
      </c>
      <c r="O43" s="201">
        <v>16.5</v>
      </c>
      <c r="P43" s="201">
        <v>44.47</v>
      </c>
      <c r="Q43" s="202">
        <v>2969.5313041666664</v>
      </c>
      <c r="R43" s="200">
        <v>20630.3</v>
      </c>
      <c r="S43" s="200">
        <v>0</v>
      </c>
      <c r="T43" s="193">
        <v>0</v>
      </c>
      <c r="U43" s="237">
        <f>+'Simulador Original'!J43-'Simulador Original (2)'!J43</f>
        <v>-1907.295535714286</v>
      </c>
      <c r="V43" s="197">
        <v>424</v>
      </c>
      <c r="W43" s="204">
        <v>0.85673033075236327</v>
      </c>
      <c r="X43" s="201">
        <v>858.41438096545232</v>
      </c>
      <c r="Y43" s="201">
        <v>-9.6895782465627551</v>
      </c>
      <c r="Z43" s="198">
        <v>9.7599976434525715</v>
      </c>
      <c r="AA43" s="201">
        <v>7.0419396889817229E-2</v>
      </c>
      <c r="AB43" s="201">
        <v>868.10395921201507</v>
      </c>
    </row>
    <row r="44" spans="1:28" ht="13.8" x14ac:dyDescent="0.3">
      <c r="A44" s="24">
        <v>13</v>
      </c>
      <c r="B44" s="24">
        <v>1</v>
      </c>
      <c r="C44" s="8">
        <v>43600</v>
      </c>
      <c r="D44" s="25">
        <v>15</v>
      </c>
      <c r="E44" s="25">
        <v>13</v>
      </c>
      <c r="F44" s="26">
        <v>360</v>
      </c>
      <c r="G44" s="189">
        <v>14.03</v>
      </c>
      <c r="H44" s="25">
        <v>30</v>
      </c>
      <c r="I44" s="22">
        <v>20630.3</v>
      </c>
      <c r="J44" s="190">
        <v>2650.59</v>
      </c>
      <c r="K44" s="190">
        <v>226.95</v>
      </c>
      <c r="L44" s="191">
        <v>31.021304166666667</v>
      </c>
      <c r="M44" s="191">
        <v>257.97130416666664</v>
      </c>
      <c r="N44" s="21">
        <v>2908.5613041666666</v>
      </c>
      <c r="O44" s="21">
        <v>16.5</v>
      </c>
      <c r="P44" s="21">
        <v>44.47</v>
      </c>
      <c r="Q44" s="195">
        <v>2969.5313041666664</v>
      </c>
      <c r="R44" s="22">
        <v>17979.71</v>
      </c>
      <c r="S44" s="22">
        <v>0</v>
      </c>
      <c r="T44" s="193">
        <v>0</v>
      </c>
      <c r="U44" s="237">
        <f>+'Simulador Original'!J44-'Simulador Original (2)'!J44</f>
        <v>-1936.8755357142859</v>
      </c>
      <c r="V44" s="25">
        <v>454</v>
      </c>
      <c r="W44" s="194">
        <v>0.84740797874410301</v>
      </c>
      <c r="X44" s="21">
        <v>868.10395921201507</v>
      </c>
      <c r="Y44" s="21">
        <v>-9.4796095036316661</v>
      </c>
      <c r="Z44" s="26">
        <v>9.5500289005214825</v>
      </c>
      <c r="AA44" s="21">
        <v>7.0419396889817229E-2</v>
      </c>
      <c r="AB44" s="21">
        <v>877.58356871564672</v>
      </c>
    </row>
    <row r="45" spans="1:28" ht="13.8" x14ac:dyDescent="0.3">
      <c r="A45" s="24">
        <v>14</v>
      </c>
      <c r="B45" s="24">
        <v>1</v>
      </c>
      <c r="C45" s="8">
        <v>43631</v>
      </c>
      <c r="D45" s="25">
        <v>16</v>
      </c>
      <c r="E45" s="25">
        <v>14</v>
      </c>
      <c r="F45" s="26">
        <v>360</v>
      </c>
      <c r="G45" s="189">
        <v>14.03</v>
      </c>
      <c r="H45" s="25">
        <v>31</v>
      </c>
      <c r="I45" s="22">
        <v>17979.71</v>
      </c>
      <c r="J45" s="190">
        <v>2673.11</v>
      </c>
      <c r="K45" s="190">
        <v>204.43</v>
      </c>
      <c r="L45" s="191">
        <v>31.021304166666667</v>
      </c>
      <c r="M45" s="191">
        <v>235.45130416666666</v>
      </c>
      <c r="N45" s="21">
        <v>2908.5613041666666</v>
      </c>
      <c r="O45" s="21">
        <v>16.5</v>
      </c>
      <c r="P45" s="21">
        <v>44.47</v>
      </c>
      <c r="Q45" s="195">
        <v>2969.5313041666664</v>
      </c>
      <c r="R45" s="22">
        <v>15306.6</v>
      </c>
      <c r="S45" s="22">
        <v>0</v>
      </c>
      <c r="T45" s="193">
        <v>0</v>
      </c>
      <c r="U45" s="237">
        <f>+'Simulador Original'!J45-'Simulador Original (2)'!J45</f>
        <v>-1942.5955357142859</v>
      </c>
      <c r="V45" s="25">
        <v>485</v>
      </c>
      <c r="W45" s="194">
        <v>0.83788143652013458</v>
      </c>
      <c r="X45" s="21">
        <v>877.58356871564672</v>
      </c>
      <c r="Y45" s="21">
        <v>-9.9075280286462934</v>
      </c>
      <c r="Z45" s="26">
        <v>9.9779474255361098</v>
      </c>
      <c r="AA45" s="21">
        <v>7.0419396889817229E-2</v>
      </c>
      <c r="AB45" s="21">
        <v>887.49109674429303</v>
      </c>
    </row>
    <row r="46" spans="1:28" ht="13.8" x14ac:dyDescent="0.3">
      <c r="A46" s="24">
        <v>15</v>
      </c>
      <c r="B46" s="24">
        <v>1</v>
      </c>
      <c r="C46" s="8">
        <v>43661</v>
      </c>
      <c r="D46" s="25">
        <v>17</v>
      </c>
      <c r="E46" s="25">
        <v>15</v>
      </c>
      <c r="F46" s="26">
        <v>360</v>
      </c>
      <c r="G46" s="189">
        <v>14.03</v>
      </c>
      <c r="H46" s="25">
        <v>30</v>
      </c>
      <c r="I46" s="22">
        <v>15306.6</v>
      </c>
      <c r="J46" s="21">
        <v>2709.15</v>
      </c>
      <c r="K46" s="21">
        <v>168.39</v>
      </c>
      <c r="L46" s="21">
        <v>31.021304166666667</v>
      </c>
      <c r="M46" s="21">
        <v>199.41130416666664</v>
      </c>
      <c r="N46" s="21">
        <v>2908.5613041666666</v>
      </c>
      <c r="O46" s="21">
        <v>16.5</v>
      </c>
      <c r="P46" s="21">
        <v>44.47</v>
      </c>
      <c r="Q46" s="195">
        <v>2969.5313041666664</v>
      </c>
      <c r="R46" s="22">
        <v>12597.45</v>
      </c>
      <c r="S46" s="22">
        <v>0</v>
      </c>
      <c r="T46" s="193">
        <v>0</v>
      </c>
      <c r="U46" s="237">
        <f>+'Simulador Original'!J46-'Simulador Original (2)'!J46</f>
        <v>-1979.5955357142859</v>
      </c>
      <c r="V46" s="25">
        <v>515</v>
      </c>
      <c r="W46" s="205">
        <v>0.82876418525442086</v>
      </c>
      <c r="X46" s="21">
        <v>887.49109674429303</v>
      </c>
      <c r="Y46" s="21">
        <v>-9.6928877887574458</v>
      </c>
      <c r="Z46" s="26">
        <v>9.7633071856472622</v>
      </c>
      <c r="AA46" s="21">
        <v>7.0419396889817229E-2</v>
      </c>
      <c r="AB46" s="21">
        <v>897.18398453305053</v>
      </c>
    </row>
    <row r="47" spans="1:28" ht="13.8" x14ac:dyDescent="0.3">
      <c r="A47" s="24">
        <v>16</v>
      </c>
      <c r="B47" s="24">
        <v>1</v>
      </c>
      <c r="C47" s="8">
        <v>43723</v>
      </c>
      <c r="D47" s="25">
        <v>19</v>
      </c>
      <c r="E47" s="25">
        <v>16</v>
      </c>
      <c r="F47" s="26">
        <v>360</v>
      </c>
      <c r="G47" s="189">
        <v>14.03</v>
      </c>
      <c r="H47" s="25">
        <v>62</v>
      </c>
      <c r="I47" s="22">
        <v>12597.45</v>
      </c>
      <c r="J47" s="190">
        <v>2544.98</v>
      </c>
      <c r="K47" s="190">
        <v>288.08999999999997</v>
      </c>
      <c r="L47" s="191">
        <v>31.021304166666667</v>
      </c>
      <c r="M47" s="191">
        <v>319.11130416666663</v>
      </c>
      <c r="N47" s="21">
        <v>2864.0913041666668</v>
      </c>
      <c r="O47" s="21">
        <v>16.5</v>
      </c>
      <c r="P47" s="21">
        <v>88.94</v>
      </c>
      <c r="Q47" s="195">
        <v>2969.5313041666668</v>
      </c>
      <c r="R47" s="22">
        <v>10052.469999999999</v>
      </c>
      <c r="S47" s="22">
        <v>0</v>
      </c>
      <c r="T47" s="193">
        <v>44.47</v>
      </c>
      <c r="U47" s="237">
        <f>+'Simulador Original'!J47-'Simulador Original (2)'!J47</f>
        <v>-1798.9755357142858</v>
      </c>
      <c r="V47" s="25">
        <v>577</v>
      </c>
      <c r="W47" s="194">
        <v>0.81023502799612701</v>
      </c>
      <c r="X47" s="21">
        <v>897.18398453305053</v>
      </c>
      <c r="Y47" s="21">
        <v>-20.447162001868225</v>
      </c>
      <c r="Z47" s="26">
        <v>20.517581398758043</v>
      </c>
      <c r="AA47" s="21">
        <v>7.0419396889817229E-2</v>
      </c>
      <c r="AB47" s="21">
        <v>917.6311465349188</v>
      </c>
    </row>
    <row r="48" spans="1:28" ht="13.8" x14ac:dyDescent="0.3">
      <c r="A48" s="24">
        <v>17</v>
      </c>
      <c r="B48" s="24">
        <v>1</v>
      </c>
      <c r="C48" s="8">
        <v>43753</v>
      </c>
      <c r="D48" s="25">
        <v>20</v>
      </c>
      <c r="E48" s="25">
        <v>17</v>
      </c>
      <c r="F48" s="26">
        <v>360</v>
      </c>
      <c r="G48" s="189">
        <v>14.03</v>
      </c>
      <c r="H48" s="25">
        <v>30</v>
      </c>
      <c r="I48" s="22">
        <v>10052.469999999999</v>
      </c>
      <c r="J48" s="190">
        <v>2766.95</v>
      </c>
      <c r="K48" s="190">
        <v>110.59</v>
      </c>
      <c r="L48" s="191">
        <v>31.021304166666667</v>
      </c>
      <c r="M48" s="191">
        <v>141.61130416666668</v>
      </c>
      <c r="N48" s="21">
        <v>2908.5613041666666</v>
      </c>
      <c r="O48" s="21">
        <v>16.5</v>
      </c>
      <c r="P48" s="21">
        <v>44.47</v>
      </c>
      <c r="Q48" s="195">
        <v>2969.5313041666664</v>
      </c>
      <c r="R48" s="22">
        <v>7285.52</v>
      </c>
      <c r="S48" s="22">
        <v>0</v>
      </c>
      <c r="T48" s="193">
        <v>0</v>
      </c>
      <c r="U48" s="237">
        <f>+'Simulador Original'!J48-'Simulador Original (2)'!J48</f>
        <v>-2281.2755357142855</v>
      </c>
      <c r="V48" s="25">
        <v>607</v>
      </c>
      <c r="W48" s="194">
        <v>0.80141860599111969</v>
      </c>
      <c r="X48" s="21">
        <v>917.6311465349188</v>
      </c>
      <c r="Y48" s="21">
        <v>-10.024459075248187</v>
      </c>
      <c r="Z48" s="26">
        <v>10.094878472138003</v>
      </c>
      <c r="AA48" s="21">
        <v>7.0419396889817229E-2</v>
      </c>
      <c r="AB48" s="21">
        <v>927.65560561016696</v>
      </c>
    </row>
    <row r="49" spans="1:28" ht="13.8" x14ac:dyDescent="0.3">
      <c r="A49" s="24">
        <v>18</v>
      </c>
      <c r="B49" s="24">
        <v>1</v>
      </c>
      <c r="C49" s="8">
        <v>43784</v>
      </c>
      <c r="D49" s="25">
        <v>21</v>
      </c>
      <c r="E49" s="25">
        <v>18</v>
      </c>
      <c r="F49" s="26">
        <v>360</v>
      </c>
      <c r="G49" s="189">
        <v>14.03</v>
      </c>
      <c r="H49" s="25">
        <v>31</v>
      </c>
      <c r="I49" s="22">
        <v>7285.52</v>
      </c>
      <c r="J49" s="190">
        <v>2794.71</v>
      </c>
      <c r="K49" s="190">
        <v>82.83</v>
      </c>
      <c r="L49" s="191">
        <v>31.021304166666667</v>
      </c>
      <c r="M49" s="191">
        <v>113.85130416666667</v>
      </c>
      <c r="N49" s="21">
        <v>2908.5613041666666</v>
      </c>
      <c r="O49" s="21">
        <v>16.5</v>
      </c>
      <c r="P49" s="21">
        <v>44.47</v>
      </c>
      <c r="Q49" s="195">
        <v>2969.5313041666664</v>
      </c>
      <c r="R49" s="22">
        <v>4490.8100000000004</v>
      </c>
      <c r="S49" s="22">
        <v>0</v>
      </c>
      <c r="T49" s="193">
        <v>0</v>
      </c>
      <c r="U49" s="237">
        <f>+'Simulador Original'!J49-'Simulador Original (2)'!J49</f>
        <v>-2027.6355357142859</v>
      </c>
      <c r="V49" s="25">
        <v>638</v>
      </c>
      <c r="W49" s="194">
        <v>0.79240907530394888</v>
      </c>
      <c r="X49" s="21">
        <v>927.65560561016696</v>
      </c>
      <c r="Y49" s="21">
        <v>-10.476836946262221</v>
      </c>
      <c r="Z49" s="26">
        <v>10.547256343152037</v>
      </c>
      <c r="AA49" s="21">
        <v>7.0419396889817229E-2</v>
      </c>
      <c r="AB49" s="21">
        <v>938.13244255642917</v>
      </c>
    </row>
    <row r="50" spans="1:28" ht="13.8" x14ac:dyDescent="0.3">
      <c r="A50" s="24">
        <v>19</v>
      </c>
      <c r="B50" s="24">
        <v>1</v>
      </c>
      <c r="C50" s="8">
        <v>43814</v>
      </c>
      <c r="D50" s="25">
        <v>22</v>
      </c>
      <c r="E50" s="25">
        <v>19</v>
      </c>
      <c r="F50" s="26">
        <v>360</v>
      </c>
      <c r="G50" s="189">
        <v>14.03</v>
      </c>
      <c r="H50" s="25">
        <v>30</v>
      </c>
      <c r="I50" s="22">
        <v>4490.8100000000004</v>
      </c>
      <c r="J50" s="190">
        <v>2828.14</v>
      </c>
      <c r="K50" s="190">
        <v>49.4</v>
      </c>
      <c r="L50" s="191">
        <v>31.021304166666667</v>
      </c>
      <c r="M50" s="191">
        <v>80.421304166666658</v>
      </c>
      <c r="N50" s="21">
        <v>2908.5613041666666</v>
      </c>
      <c r="O50" s="21">
        <v>16.5</v>
      </c>
      <c r="P50" s="21">
        <v>44.47</v>
      </c>
      <c r="Q50" s="195">
        <v>2969.5313041666664</v>
      </c>
      <c r="R50" s="22">
        <v>1662.67</v>
      </c>
      <c r="S50" s="22">
        <v>0</v>
      </c>
      <c r="T50" s="193">
        <v>0</v>
      </c>
      <c r="U50" s="237">
        <f>+'Simulador Original'!J50-'Simulador Original (2)'!J50</f>
        <v>-2068.6755357142856</v>
      </c>
      <c r="V50" s="25">
        <v>668</v>
      </c>
      <c r="W50" s="194">
        <v>0.78378662309306935</v>
      </c>
      <c r="X50" s="21">
        <v>938.13244255642917</v>
      </c>
      <c r="Y50" s="21">
        <v>-10.249994240047213</v>
      </c>
      <c r="Z50" s="26">
        <v>10.32041363693703</v>
      </c>
      <c r="AA50" s="21">
        <v>7.0419396889817229E-2</v>
      </c>
      <c r="AB50" s="21">
        <v>948.38243679647633</v>
      </c>
    </row>
    <row r="51" spans="1:28" ht="13.8" x14ac:dyDescent="0.3">
      <c r="A51" s="24">
        <v>20</v>
      </c>
      <c r="B51" s="24">
        <v>1</v>
      </c>
      <c r="C51" s="8">
        <v>43876</v>
      </c>
      <c r="D51" s="25">
        <v>24</v>
      </c>
      <c r="E51" s="25">
        <v>20</v>
      </c>
      <c r="F51" s="26">
        <v>360</v>
      </c>
      <c r="G51" s="189">
        <v>14.03</v>
      </c>
      <c r="H51" s="25">
        <v>62</v>
      </c>
      <c r="I51" s="22">
        <v>1662.67</v>
      </c>
      <c r="J51" s="190">
        <v>2795.05</v>
      </c>
      <c r="K51" s="190">
        <v>38.020000000000003</v>
      </c>
      <c r="L51" s="191">
        <v>31.021304166666667</v>
      </c>
      <c r="M51" s="191">
        <v>69.041304166666663</v>
      </c>
      <c r="N51" s="21">
        <v>2864.0913041666668</v>
      </c>
      <c r="O51" s="21">
        <v>16.5</v>
      </c>
      <c r="P51" s="21">
        <v>88.94</v>
      </c>
      <c r="Q51" s="195">
        <v>2969.5313041666668</v>
      </c>
      <c r="R51" s="22">
        <v>-1132.3800000000001</v>
      </c>
      <c r="S51" s="22">
        <v>0</v>
      </c>
      <c r="T51" s="193">
        <v>44.47</v>
      </c>
      <c r="U51" s="237">
        <f>+'Simulador Original'!J51-'Simulador Original (2)'!J51</f>
        <v>-2019.785535714286</v>
      </c>
      <c r="V51" s="25">
        <v>730</v>
      </c>
      <c r="W51" s="205">
        <v>0.76626305504484327</v>
      </c>
      <c r="X51" s="21">
        <v>948.38243679647633</v>
      </c>
      <c r="Y51" s="21">
        <v>-21.618012607668991</v>
      </c>
      <c r="Z51" s="26">
        <v>21.688432004558809</v>
      </c>
      <c r="AA51" s="21">
        <v>7.0419396889817229E-2</v>
      </c>
      <c r="AB51" s="21">
        <v>970.00044940414534</v>
      </c>
    </row>
    <row r="52" spans="1:28" ht="13.8" x14ac:dyDescent="0.3">
      <c r="A52" s="24">
        <v>21</v>
      </c>
      <c r="B52" s="24">
        <v>1</v>
      </c>
      <c r="C52" s="8">
        <v>43905</v>
      </c>
      <c r="D52" s="25">
        <v>25</v>
      </c>
      <c r="E52" s="25">
        <v>21</v>
      </c>
      <c r="F52" s="26">
        <v>360</v>
      </c>
      <c r="G52" s="189">
        <v>14.03</v>
      </c>
      <c r="H52" s="25">
        <v>29</v>
      </c>
      <c r="I52" s="22">
        <v>-1132.3800000000001</v>
      </c>
      <c r="J52" s="190">
        <v>2889.58</v>
      </c>
      <c r="K52" s="190">
        <v>-12.04</v>
      </c>
      <c r="L52" s="191">
        <v>31.021304166666667</v>
      </c>
      <c r="M52" s="191">
        <v>18.981304166666668</v>
      </c>
      <c r="N52" s="21">
        <v>2908.5613041666666</v>
      </c>
      <c r="O52" s="21">
        <v>16.5</v>
      </c>
      <c r="P52" s="21">
        <v>44.47</v>
      </c>
      <c r="Q52" s="195">
        <v>2969.5313041666664</v>
      </c>
      <c r="R52" s="22">
        <v>-4021.96</v>
      </c>
      <c r="S52" s="22">
        <v>0</v>
      </c>
      <c r="T52" s="193">
        <v>0</v>
      </c>
      <c r="U52" s="237">
        <f>+'Simulador Original'!J52-'Simulador Original (2)'!J52</f>
        <v>-2335.1755357142856</v>
      </c>
      <c r="V52" s="25">
        <v>759</v>
      </c>
      <c r="W52" s="194">
        <v>0.75820157030112201</v>
      </c>
      <c r="X52" s="21">
        <v>970.00044940414534</v>
      </c>
      <c r="Y52" s="21">
        <v>-10.242990823519721</v>
      </c>
      <c r="Z52" s="26">
        <v>10.313410220409537</v>
      </c>
      <c r="AA52" s="21">
        <v>7.0419396889817229E-2</v>
      </c>
      <c r="AB52" s="21">
        <v>980.24344022766502</v>
      </c>
    </row>
    <row r="53" spans="1:28" ht="13.8" x14ac:dyDescent="0.3">
      <c r="A53" s="24">
        <v>22</v>
      </c>
      <c r="B53" s="24">
        <v>1</v>
      </c>
      <c r="C53" s="8">
        <v>43936</v>
      </c>
      <c r="D53" s="25">
        <v>26</v>
      </c>
      <c r="E53" s="25">
        <v>22</v>
      </c>
      <c r="F53" s="26">
        <v>360</v>
      </c>
      <c r="G53" s="189">
        <v>14.03</v>
      </c>
      <c r="H53" s="25">
        <v>31</v>
      </c>
      <c r="I53" s="22">
        <v>-4021.96</v>
      </c>
      <c r="J53" s="190">
        <v>2923.27</v>
      </c>
      <c r="K53" s="190">
        <v>-45.73</v>
      </c>
      <c r="L53" s="191">
        <v>31.021304166666667</v>
      </c>
      <c r="M53" s="191">
        <v>-14.70869583333333</v>
      </c>
      <c r="N53" s="21">
        <v>2908.5613041666666</v>
      </c>
      <c r="O53" s="21">
        <v>16.5</v>
      </c>
      <c r="P53" s="21">
        <v>44.47</v>
      </c>
      <c r="Q53" s="195">
        <v>2969.5313041666664</v>
      </c>
      <c r="R53" s="22">
        <v>-6945.23</v>
      </c>
      <c r="S53" s="22">
        <v>0</v>
      </c>
      <c r="T53" s="193">
        <v>0</v>
      </c>
      <c r="U53" s="237">
        <f>+'Simulador Original'!J53-'Simulador Original (2)'!J53</f>
        <v>-2140.8955357142859</v>
      </c>
      <c r="V53" s="25">
        <v>790</v>
      </c>
      <c r="W53" s="194">
        <v>0.74967788459726814</v>
      </c>
      <c r="X53" s="21">
        <v>980.24344022766502</v>
      </c>
      <c r="Y53" s="21">
        <v>-11.074749974424446</v>
      </c>
      <c r="Z53" s="26">
        <v>11.145169371314262</v>
      </c>
      <c r="AA53" s="21">
        <v>7.0419396889817229E-2</v>
      </c>
      <c r="AB53" s="21">
        <v>991.31819020208945</v>
      </c>
    </row>
    <row r="54" spans="1:28" ht="13.8" x14ac:dyDescent="0.3">
      <c r="A54" s="24">
        <v>23</v>
      </c>
      <c r="B54" s="24">
        <v>1</v>
      </c>
      <c r="C54" s="8">
        <v>43966</v>
      </c>
      <c r="D54" s="25">
        <v>27</v>
      </c>
      <c r="E54" s="25">
        <v>23</v>
      </c>
      <c r="F54" s="26">
        <v>360</v>
      </c>
      <c r="G54" s="189">
        <v>14.03</v>
      </c>
      <c r="H54" s="25">
        <v>30</v>
      </c>
      <c r="I54" s="22">
        <v>-6945.23</v>
      </c>
      <c r="J54" s="190">
        <v>2953.94</v>
      </c>
      <c r="K54" s="190">
        <v>-76.400000000000006</v>
      </c>
      <c r="L54" s="191">
        <v>31.021304166666667</v>
      </c>
      <c r="M54" s="191">
        <v>-45.378695833333339</v>
      </c>
      <c r="N54" s="21">
        <v>2908.5613041666666</v>
      </c>
      <c r="O54" s="21">
        <v>16.5</v>
      </c>
      <c r="P54" s="21">
        <v>44.47</v>
      </c>
      <c r="Q54" s="195">
        <v>2969.5313041666664</v>
      </c>
      <c r="R54" s="22">
        <v>-9899.17</v>
      </c>
      <c r="S54" s="22">
        <v>0</v>
      </c>
      <c r="T54" s="193">
        <v>0</v>
      </c>
      <c r="U54" s="237">
        <f>+'Simulador Original'!J54-'Simulador Original (2)'!J54</f>
        <v>-2162.9955357142858</v>
      </c>
      <c r="V54" s="25">
        <v>820</v>
      </c>
      <c r="W54" s="194">
        <v>0.74152040390333007</v>
      </c>
      <c r="X54" s="21">
        <v>991.31819020208945</v>
      </c>
      <c r="Y54" s="21">
        <v>-10.835091706453134</v>
      </c>
      <c r="Z54" s="26">
        <v>10.905511103342951</v>
      </c>
      <c r="AA54" s="21">
        <v>7.0419396889817229E-2</v>
      </c>
      <c r="AB54" s="21">
        <v>1002.1532819085426</v>
      </c>
    </row>
    <row r="55" spans="1:28" ht="13.8" x14ac:dyDescent="0.3">
      <c r="A55" s="226">
        <v>24</v>
      </c>
      <c r="B55" s="226">
        <v>1</v>
      </c>
      <c r="C55" s="227">
        <v>43997</v>
      </c>
      <c r="D55" s="228">
        <v>28</v>
      </c>
      <c r="E55" s="228">
        <v>24</v>
      </c>
      <c r="F55" s="229">
        <v>360</v>
      </c>
      <c r="G55" s="230">
        <v>14.03</v>
      </c>
      <c r="H55" s="228">
        <v>31</v>
      </c>
      <c r="I55" s="231">
        <v>-9899.17</v>
      </c>
      <c r="J55" s="232">
        <v>2990.09</v>
      </c>
      <c r="K55" s="232">
        <v>-112.55</v>
      </c>
      <c r="L55" s="232">
        <v>31.021304166666667</v>
      </c>
      <c r="M55" s="232">
        <v>-81.52869583333333</v>
      </c>
      <c r="N55" s="232">
        <v>2908.5613041666666</v>
      </c>
      <c r="O55" s="232">
        <v>16.5</v>
      </c>
      <c r="P55" s="232">
        <v>44.47</v>
      </c>
      <c r="Q55" s="233">
        <v>2969.5313041666664</v>
      </c>
      <c r="R55" s="231">
        <v>-12889.26</v>
      </c>
      <c r="S55" s="231">
        <v>0</v>
      </c>
      <c r="T55" s="234">
        <v>0</v>
      </c>
      <c r="U55" s="237">
        <f>+'Simulador Original'!J55-'Simulador Original (2)'!J55</f>
        <v>-2184.0355357142862</v>
      </c>
      <c r="V55" s="25">
        <v>851</v>
      </c>
      <c r="W55" s="205">
        <v>0.73318424751241595</v>
      </c>
      <c r="X55" s="21">
        <v>1002.1532819085426</v>
      </c>
      <c r="Y55" s="21">
        <v>-11.323860436592238</v>
      </c>
      <c r="Z55" s="26">
        <v>11.394279833482054</v>
      </c>
      <c r="AA55" s="21">
        <v>7.0419396889817229E-2</v>
      </c>
      <c r="AB55" s="21">
        <v>1013.4771423451348</v>
      </c>
    </row>
    <row r="56" spans="1:28" ht="13.8" x14ac:dyDescent="0.3">
      <c r="A56" s="24" t="s">
        <v>108</v>
      </c>
      <c r="B56" s="24" t="s">
        <v>108</v>
      </c>
      <c r="C56" s="8" t="s">
        <v>108</v>
      </c>
      <c r="D56" s="25" t="s">
        <v>108</v>
      </c>
      <c r="E56" s="25" t="s">
        <v>108</v>
      </c>
      <c r="F56" s="26" t="s">
        <v>108</v>
      </c>
      <c r="G56" s="189" t="s">
        <v>108</v>
      </c>
      <c r="H56" s="25" t="s">
        <v>108</v>
      </c>
      <c r="I56" s="22" t="s">
        <v>108</v>
      </c>
      <c r="J56" s="21" t="s">
        <v>108</v>
      </c>
      <c r="K56" s="21" t="s">
        <v>108</v>
      </c>
      <c r="L56" s="191" t="s">
        <v>108</v>
      </c>
      <c r="M56" s="191" t="s">
        <v>108</v>
      </c>
      <c r="N56" s="21" t="s">
        <v>108</v>
      </c>
      <c r="O56" s="21" t="s">
        <v>108</v>
      </c>
      <c r="P56" s="21" t="s">
        <v>108</v>
      </c>
      <c r="Q56" s="195" t="s">
        <v>108</v>
      </c>
      <c r="R56" s="22" t="s">
        <v>108</v>
      </c>
      <c r="S56" s="22" t="s">
        <v>108</v>
      </c>
      <c r="T56" s="193" t="s">
        <v>108</v>
      </c>
      <c r="V56" s="25" t="e">
        <v>#VALUE!</v>
      </c>
      <c r="W56" s="205" t="e">
        <v>#VALUE!</v>
      </c>
      <c r="X56" s="21">
        <v>1013.4771423451348</v>
      </c>
      <c r="Y56" s="21" t="e">
        <v>#VALUE!</v>
      </c>
      <c r="Z56" s="26" t="e">
        <v>#VALUE!</v>
      </c>
      <c r="AA56" s="21">
        <v>7.0419396889817229E-2</v>
      </c>
      <c r="AB56" s="21" t="e">
        <v>#VALUE!</v>
      </c>
    </row>
    <row r="57" spans="1:28" ht="13.8" x14ac:dyDescent="0.3">
      <c r="A57" s="24" t="s">
        <v>108</v>
      </c>
      <c r="B57" s="24" t="s">
        <v>108</v>
      </c>
      <c r="C57" s="8" t="s">
        <v>108</v>
      </c>
      <c r="D57" s="25" t="s">
        <v>108</v>
      </c>
      <c r="E57" s="25" t="s">
        <v>108</v>
      </c>
      <c r="F57" s="26" t="s">
        <v>108</v>
      </c>
      <c r="G57" s="189" t="s">
        <v>108</v>
      </c>
      <c r="H57" s="25" t="s">
        <v>108</v>
      </c>
      <c r="I57" s="22" t="s">
        <v>108</v>
      </c>
      <c r="J57" s="21" t="s">
        <v>108</v>
      </c>
      <c r="K57" s="21" t="s">
        <v>108</v>
      </c>
      <c r="L57" s="191" t="s">
        <v>108</v>
      </c>
      <c r="M57" s="191" t="s">
        <v>108</v>
      </c>
      <c r="N57" s="21" t="s">
        <v>108</v>
      </c>
      <c r="O57" s="21" t="s">
        <v>108</v>
      </c>
      <c r="P57" s="21" t="s">
        <v>108</v>
      </c>
      <c r="Q57" s="195" t="s">
        <v>108</v>
      </c>
      <c r="R57" s="22" t="s">
        <v>108</v>
      </c>
      <c r="S57" s="22" t="s">
        <v>108</v>
      </c>
      <c r="T57" s="193" t="s">
        <v>108</v>
      </c>
      <c r="V57" s="25" t="e">
        <v>#VALUE!</v>
      </c>
      <c r="W57" s="194" t="e">
        <v>#VALUE!</v>
      </c>
      <c r="X57" s="21" t="e">
        <v>#VALUE!</v>
      </c>
      <c r="Y57" s="21" t="e">
        <v>#VALUE!</v>
      </c>
      <c r="Z57" s="26" t="e">
        <v>#VALUE!</v>
      </c>
      <c r="AA57" s="21">
        <v>7.0419396889817229E-2</v>
      </c>
      <c r="AB57" s="21" t="e">
        <v>#VALUE!</v>
      </c>
    </row>
    <row r="58" spans="1:28" ht="13.8" x14ac:dyDescent="0.3">
      <c r="A58" s="24" t="s">
        <v>108</v>
      </c>
      <c r="B58" s="24" t="s">
        <v>108</v>
      </c>
      <c r="C58" s="8" t="s">
        <v>108</v>
      </c>
      <c r="D58" s="25" t="s">
        <v>108</v>
      </c>
      <c r="E58" s="25" t="s">
        <v>108</v>
      </c>
      <c r="F58" s="26" t="s">
        <v>108</v>
      </c>
      <c r="G58" s="189" t="s">
        <v>108</v>
      </c>
      <c r="H58" s="25" t="s">
        <v>108</v>
      </c>
      <c r="I58" s="22" t="s">
        <v>108</v>
      </c>
      <c r="J58" s="21" t="s">
        <v>108</v>
      </c>
      <c r="K58" s="21" t="s">
        <v>108</v>
      </c>
      <c r="L58" s="191" t="s">
        <v>108</v>
      </c>
      <c r="M58" s="191" t="s">
        <v>108</v>
      </c>
      <c r="N58" s="21" t="s">
        <v>108</v>
      </c>
      <c r="O58" s="21" t="s">
        <v>108</v>
      </c>
      <c r="P58" s="21" t="s">
        <v>108</v>
      </c>
      <c r="Q58" s="195" t="s">
        <v>108</v>
      </c>
      <c r="R58" s="22" t="s">
        <v>108</v>
      </c>
      <c r="S58" s="22" t="s">
        <v>108</v>
      </c>
      <c r="T58" s="193" t="s">
        <v>108</v>
      </c>
      <c r="V58" s="25" t="e">
        <v>#VALUE!</v>
      </c>
      <c r="W58" s="194" t="e">
        <v>#VALUE!</v>
      </c>
      <c r="X58" s="21" t="e">
        <v>#VALUE!</v>
      </c>
      <c r="Y58" s="21" t="e">
        <v>#VALUE!</v>
      </c>
      <c r="Z58" s="26" t="e">
        <v>#VALUE!</v>
      </c>
      <c r="AA58" s="21">
        <v>7.0419396889817229E-2</v>
      </c>
      <c r="AB58" s="21" t="e">
        <v>#VALUE!</v>
      </c>
    </row>
    <row r="59" spans="1:28" ht="13.8" x14ac:dyDescent="0.3">
      <c r="A59" s="24" t="s">
        <v>108</v>
      </c>
      <c r="B59" s="24" t="s">
        <v>108</v>
      </c>
      <c r="C59" s="8" t="s">
        <v>108</v>
      </c>
      <c r="D59" s="25" t="s">
        <v>108</v>
      </c>
      <c r="E59" s="25" t="s">
        <v>108</v>
      </c>
      <c r="F59" s="26" t="s">
        <v>108</v>
      </c>
      <c r="G59" s="189" t="s">
        <v>108</v>
      </c>
      <c r="H59" s="25" t="s">
        <v>108</v>
      </c>
      <c r="I59" s="22" t="s">
        <v>108</v>
      </c>
      <c r="J59" s="21" t="s">
        <v>108</v>
      </c>
      <c r="K59" s="21" t="s">
        <v>108</v>
      </c>
      <c r="L59" s="191" t="s">
        <v>108</v>
      </c>
      <c r="M59" s="191" t="s">
        <v>108</v>
      </c>
      <c r="N59" s="21" t="s">
        <v>108</v>
      </c>
      <c r="O59" s="21" t="s">
        <v>108</v>
      </c>
      <c r="P59" s="21" t="s">
        <v>108</v>
      </c>
      <c r="Q59" s="195" t="s">
        <v>108</v>
      </c>
      <c r="R59" s="22" t="s">
        <v>108</v>
      </c>
      <c r="S59" s="22" t="s">
        <v>108</v>
      </c>
      <c r="T59" s="193" t="s">
        <v>108</v>
      </c>
      <c r="V59" s="25" t="e">
        <v>#VALUE!</v>
      </c>
      <c r="W59" s="194" t="e">
        <v>#VALUE!</v>
      </c>
      <c r="X59" s="21" t="e">
        <v>#VALUE!</v>
      </c>
      <c r="Y59" s="21" t="e">
        <v>#VALUE!</v>
      </c>
      <c r="Z59" s="26" t="e">
        <v>#VALUE!</v>
      </c>
      <c r="AA59" s="21">
        <v>7.0419396889817229E-2</v>
      </c>
      <c r="AB59" s="21" t="e">
        <v>#VALUE!</v>
      </c>
    </row>
    <row r="60" spans="1:28" ht="13.8" x14ac:dyDescent="0.3">
      <c r="A60" s="24" t="s">
        <v>108</v>
      </c>
      <c r="B60" s="24" t="s">
        <v>108</v>
      </c>
      <c r="C60" s="8" t="s">
        <v>108</v>
      </c>
      <c r="D60" s="25" t="s">
        <v>108</v>
      </c>
      <c r="E60" s="25" t="s">
        <v>108</v>
      </c>
      <c r="F60" s="26" t="s">
        <v>108</v>
      </c>
      <c r="G60" s="189" t="s">
        <v>108</v>
      </c>
      <c r="H60" s="25" t="s">
        <v>108</v>
      </c>
      <c r="I60" s="22" t="s">
        <v>108</v>
      </c>
      <c r="J60" s="21" t="s">
        <v>108</v>
      </c>
      <c r="K60" s="21" t="s">
        <v>108</v>
      </c>
      <c r="L60" s="191" t="s">
        <v>108</v>
      </c>
      <c r="M60" s="191" t="s">
        <v>108</v>
      </c>
      <c r="N60" s="21" t="s">
        <v>108</v>
      </c>
      <c r="O60" s="21" t="s">
        <v>108</v>
      </c>
      <c r="P60" s="21" t="s">
        <v>108</v>
      </c>
      <c r="Q60" s="195" t="s">
        <v>108</v>
      </c>
      <c r="R60" s="22" t="s">
        <v>108</v>
      </c>
      <c r="S60" s="22" t="s">
        <v>108</v>
      </c>
      <c r="T60" s="193" t="s">
        <v>108</v>
      </c>
      <c r="V60" s="25" t="e">
        <v>#VALUE!</v>
      </c>
      <c r="W60" s="194" t="e">
        <v>#VALUE!</v>
      </c>
      <c r="X60" s="21" t="e">
        <v>#VALUE!</v>
      </c>
      <c r="Y60" s="21" t="e">
        <v>#VALUE!</v>
      </c>
      <c r="Z60" s="26" t="e">
        <v>#VALUE!</v>
      </c>
      <c r="AA60" s="21">
        <v>7.0419396889817229E-2</v>
      </c>
      <c r="AB60" s="21" t="e">
        <v>#VALUE!</v>
      </c>
    </row>
    <row r="61" spans="1:28" ht="13.8" x14ac:dyDescent="0.3">
      <c r="A61" s="24" t="s">
        <v>108</v>
      </c>
      <c r="B61" s="24" t="s">
        <v>108</v>
      </c>
      <c r="C61" s="8" t="s">
        <v>108</v>
      </c>
      <c r="D61" s="25" t="s">
        <v>108</v>
      </c>
      <c r="E61" s="25" t="s">
        <v>108</v>
      </c>
      <c r="F61" s="26" t="s">
        <v>108</v>
      </c>
      <c r="G61" s="189" t="s">
        <v>108</v>
      </c>
      <c r="H61" s="25" t="s">
        <v>108</v>
      </c>
      <c r="I61" s="22" t="s">
        <v>108</v>
      </c>
      <c r="J61" s="21" t="s">
        <v>108</v>
      </c>
      <c r="K61" s="21" t="s">
        <v>108</v>
      </c>
      <c r="L61" s="191" t="s">
        <v>108</v>
      </c>
      <c r="M61" s="191" t="s">
        <v>108</v>
      </c>
      <c r="N61" s="21" t="s">
        <v>108</v>
      </c>
      <c r="O61" s="21" t="s">
        <v>108</v>
      </c>
      <c r="P61" s="21" t="s">
        <v>108</v>
      </c>
      <c r="Q61" s="195" t="s">
        <v>108</v>
      </c>
      <c r="R61" s="22" t="s">
        <v>108</v>
      </c>
      <c r="S61" s="22" t="s">
        <v>108</v>
      </c>
      <c r="T61" s="193" t="s">
        <v>108</v>
      </c>
      <c r="V61" s="25" t="e">
        <v>#VALUE!</v>
      </c>
      <c r="W61" s="205" t="e">
        <v>#VALUE!</v>
      </c>
      <c r="X61" s="21" t="e">
        <v>#VALUE!</v>
      </c>
      <c r="Y61" s="21" t="e">
        <v>#VALUE!</v>
      </c>
      <c r="Z61" s="26" t="e">
        <v>#VALUE!</v>
      </c>
      <c r="AA61" s="21">
        <v>7.0419396889817229E-2</v>
      </c>
      <c r="AB61" s="21" t="e">
        <v>#VALUE!</v>
      </c>
    </row>
    <row r="62" spans="1:28" ht="13.8" x14ac:dyDescent="0.3">
      <c r="A62" s="24" t="s">
        <v>108</v>
      </c>
      <c r="B62" s="24" t="s">
        <v>108</v>
      </c>
      <c r="C62" s="8" t="s">
        <v>108</v>
      </c>
      <c r="D62" s="25" t="s">
        <v>108</v>
      </c>
      <c r="E62" s="25" t="s">
        <v>108</v>
      </c>
      <c r="F62" s="26" t="s">
        <v>108</v>
      </c>
      <c r="G62" s="189" t="s">
        <v>108</v>
      </c>
      <c r="H62" s="25" t="s">
        <v>108</v>
      </c>
      <c r="I62" s="22" t="s">
        <v>108</v>
      </c>
      <c r="J62" s="21" t="s">
        <v>108</v>
      </c>
      <c r="K62" s="21" t="s">
        <v>108</v>
      </c>
      <c r="L62" s="191" t="s">
        <v>108</v>
      </c>
      <c r="M62" s="191" t="s">
        <v>108</v>
      </c>
      <c r="N62" s="21" t="s">
        <v>108</v>
      </c>
      <c r="O62" s="21" t="s">
        <v>108</v>
      </c>
      <c r="P62" s="21" t="s">
        <v>108</v>
      </c>
      <c r="Q62" s="195" t="s">
        <v>108</v>
      </c>
      <c r="R62" s="22" t="s">
        <v>108</v>
      </c>
      <c r="S62" s="22" t="s">
        <v>108</v>
      </c>
      <c r="T62" s="193" t="s">
        <v>108</v>
      </c>
      <c r="V62" s="25" t="e">
        <v>#VALUE!</v>
      </c>
      <c r="W62" s="205" t="e">
        <v>#VALUE!</v>
      </c>
      <c r="X62" s="21" t="e">
        <v>#VALUE!</v>
      </c>
      <c r="Y62" s="21" t="e">
        <v>#VALUE!</v>
      </c>
      <c r="Z62" s="26" t="e">
        <v>#VALUE!</v>
      </c>
      <c r="AA62" s="21">
        <v>7.0419396889817229E-2</v>
      </c>
      <c r="AB62" s="21" t="e">
        <v>#VALUE!</v>
      </c>
    </row>
    <row r="63" spans="1:28" ht="13.8" x14ac:dyDescent="0.3">
      <c r="A63" s="24" t="s">
        <v>108</v>
      </c>
      <c r="B63" s="24" t="s">
        <v>108</v>
      </c>
      <c r="C63" s="8" t="s">
        <v>108</v>
      </c>
      <c r="D63" s="25" t="s">
        <v>108</v>
      </c>
      <c r="E63" s="25" t="s">
        <v>108</v>
      </c>
      <c r="F63" s="26" t="s">
        <v>108</v>
      </c>
      <c r="G63" s="189" t="s">
        <v>108</v>
      </c>
      <c r="H63" s="25" t="s">
        <v>108</v>
      </c>
      <c r="I63" s="22" t="s">
        <v>108</v>
      </c>
      <c r="J63" s="21" t="s">
        <v>108</v>
      </c>
      <c r="K63" s="21" t="s">
        <v>108</v>
      </c>
      <c r="L63" s="191" t="s">
        <v>108</v>
      </c>
      <c r="M63" s="191" t="s">
        <v>108</v>
      </c>
      <c r="N63" s="21" t="s">
        <v>108</v>
      </c>
      <c r="O63" s="21" t="s">
        <v>108</v>
      </c>
      <c r="P63" s="21" t="s">
        <v>108</v>
      </c>
      <c r="Q63" s="195" t="s">
        <v>108</v>
      </c>
      <c r="R63" s="22" t="s">
        <v>108</v>
      </c>
      <c r="S63" s="22" t="s">
        <v>108</v>
      </c>
      <c r="T63" s="193" t="s">
        <v>108</v>
      </c>
      <c r="V63" s="25" t="e">
        <v>#VALUE!</v>
      </c>
      <c r="W63" s="194" t="e">
        <v>#VALUE!</v>
      </c>
      <c r="X63" s="21" t="e">
        <v>#VALUE!</v>
      </c>
      <c r="Y63" s="21" t="e">
        <v>#VALUE!</v>
      </c>
      <c r="Z63" s="26" t="e">
        <v>#VALUE!</v>
      </c>
      <c r="AA63" s="21">
        <v>7.0419396889817229E-2</v>
      </c>
      <c r="AB63" s="21" t="e">
        <v>#VALUE!</v>
      </c>
    </row>
    <row r="64" spans="1:28" ht="13.8" x14ac:dyDescent="0.3">
      <c r="A64" s="24" t="s">
        <v>108</v>
      </c>
      <c r="B64" s="24" t="s">
        <v>108</v>
      </c>
      <c r="C64" s="8" t="s">
        <v>108</v>
      </c>
      <c r="D64" s="25" t="s">
        <v>108</v>
      </c>
      <c r="E64" s="25" t="s">
        <v>108</v>
      </c>
      <c r="F64" s="26" t="s">
        <v>108</v>
      </c>
      <c r="G64" s="189" t="s">
        <v>108</v>
      </c>
      <c r="H64" s="25" t="s">
        <v>108</v>
      </c>
      <c r="I64" s="22" t="s">
        <v>108</v>
      </c>
      <c r="J64" s="21" t="s">
        <v>108</v>
      </c>
      <c r="K64" s="21" t="s">
        <v>108</v>
      </c>
      <c r="L64" s="191" t="s">
        <v>108</v>
      </c>
      <c r="M64" s="191" t="s">
        <v>108</v>
      </c>
      <c r="N64" s="21" t="s">
        <v>108</v>
      </c>
      <c r="O64" s="21" t="s">
        <v>108</v>
      </c>
      <c r="P64" s="21" t="s">
        <v>108</v>
      </c>
      <c r="Q64" s="195" t="s">
        <v>108</v>
      </c>
      <c r="R64" s="22" t="s">
        <v>108</v>
      </c>
      <c r="S64" s="22" t="s">
        <v>108</v>
      </c>
      <c r="T64" s="193" t="s">
        <v>108</v>
      </c>
      <c r="V64" s="25" t="e">
        <v>#VALUE!</v>
      </c>
      <c r="W64" s="194" t="e">
        <v>#VALUE!</v>
      </c>
      <c r="X64" s="21" t="e">
        <v>#VALUE!</v>
      </c>
      <c r="Y64" s="21" t="e">
        <v>#VALUE!</v>
      </c>
      <c r="Z64" s="26" t="e">
        <v>#VALUE!</v>
      </c>
      <c r="AA64" s="21">
        <v>7.0419396889817229E-2</v>
      </c>
      <c r="AB64" s="21" t="e">
        <v>#VALUE!</v>
      </c>
    </row>
    <row r="65" spans="1:28" ht="13.8" x14ac:dyDescent="0.3">
      <c r="A65" s="24" t="s">
        <v>108</v>
      </c>
      <c r="B65" s="24" t="s">
        <v>108</v>
      </c>
      <c r="C65" s="8" t="s">
        <v>108</v>
      </c>
      <c r="D65" s="25" t="s">
        <v>108</v>
      </c>
      <c r="E65" s="25" t="s">
        <v>108</v>
      </c>
      <c r="F65" s="26" t="s">
        <v>108</v>
      </c>
      <c r="G65" s="189" t="s">
        <v>108</v>
      </c>
      <c r="H65" s="25" t="s">
        <v>108</v>
      </c>
      <c r="I65" s="22" t="s">
        <v>108</v>
      </c>
      <c r="J65" s="21" t="s">
        <v>108</v>
      </c>
      <c r="K65" s="21" t="s">
        <v>108</v>
      </c>
      <c r="L65" s="191" t="s">
        <v>108</v>
      </c>
      <c r="M65" s="191" t="s">
        <v>108</v>
      </c>
      <c r="N65" s="21" t="s">
        <v>108</v>
      </c>
      <c r="O65" s="21" t="s">
        <v>108</v>
      </c>
      <c r="P65" s="21" t="s">
        <v>108</v>
      </c>
      <c r="Q65" s="195" t="s">
        <v>108</v>
      </c>
      <c r="R65" s="22" t="s">
        <v>108</v>
      </c>
      <c r="S65" s="22" t="s">
        <v>108</v>
      </c>
      <c r="T65" s="193" t="s">
        <v>108</v>
      </c>
      <c r="V65" s="25" t="e">
        <v>#VALUE!</v>
      </c>
      <c r="W65" s="194" t="e">
        <v>#VALUE!</v>
      </c>
      <c r="X65" s="21" t="e">
        <v>#VALUE!</v>
      </c>
      <c r="Y65" s="21" t="e">
        <v>#VALUE!</v>
      </c>
      <c r="Z65" s="26" t="e">
        <v>#VALUE!</v>
      </c>
      <c r="AA65" s="21">
        <v>7.0419396889817229E-2</v>
      </c>
      <c r="AB65" s="21" t="e">
        <v>#VALUE!</v>
      </c>
    </row>
    <row r="66" spans="1:28" ht="13.8" x14ac:dyDescent="0.3">
      <c r="A66" s="24" t="s">
        <v>108</v>
      </c>
      <c r="B66" s="24" t="s">
        <v>108</v>
      </c>
      <c r="C66" s="8" t="s">
        <v>108</v>
      </c>
      <c r="D66" s="25" t="s">
        <v>108</v>
      </c>
      <c r="E66" s="25" t="s">
        <v>108</v>
      </c>
      <c r="F66" s="26" t="s">
        <v>108</v>
      </c>
      <c r="G66" s="189" t="s">
        <v>108</v>
      </c>
      <c r="H66" s="25" t="s">
        <v>108</v>
      </c>
      <c r="I66" s="22" t="s">
        <v>108</v>
      </c>
      <c r="J66" s="21" t="s">
        <v>108</v>
      </c>
      <c r="K66" s="21" t="s">
        <v>108</v>
      </c>
      <c r="L66" s="191" t="s">
        <v>108</v>
      </c>
      <c r="M66" s="191" t="s">
        <v>108</v>
      </c>
      <c r="N66" s="21" t="s">
        <v>108</v>
      </c>
      <c r="O66" s="21" t="s">
        <v>108</v>
      </c>
      <c r="P66" s="21" t="s">
        <v>108</v>
      </c>
      <c r="Q66" s="195" t="s">
        <v>108</v>
      </c>
      <c r="R66" s="22" t="s">
        <v>108</v>
      </c>
      <c r="S66" s="22" t="s">
        <v>108</v>
      </c>
      <c r="T66" s="193" t="s">
        <v>108</v>
      </c>
      <c r="V66" s="25" t="e">
        <v>#VALUE!</v>
      </c>
      <c r="W66" s="194" t="e">
        <v>#VALUE!</v>
      </c>
      <c r="X66" s="21" t="e">
        <v>#VALUE!</v>
      </c>
      <c r="Y66" s="21" t="e">
        <v>#VALUE!</v>
      </c>
      <c r="Z66" s="26" t="e">
        <v>#VALUE!</v>
      </c>
      <c r="AA66" s="21">
        <v>7.0419396889817229E-2</v>
      </c>
      <c r="AB66" s="21" t="e">
        <v>#VALUE!</v>
      </c>
    </row>
    <row r="67" spans="1:28" ht="13.8" x14ac:dyDescent="0.3">
      <c r="A67" s="24" t="s">
        <v>108</v>
      </c>
      <c r="B67" s="24" t="s">
        <v>108</v>
      </c>
      <c r="C67" s="8" t="s">
        <v>108</v>
      </c>
      <c r="D67" s="25" t="s">
        <v>108</v>
      </c>
      <c r="E67" s="25" t="s">
        <v>108</v>
      </c>
      <c r="F67" s="26" t="s">
        <v>108</v>
      </c>
      <c r="G67" s="189" t="s">
        <v>108</v>
      </c>
      <c r="H67" s="25" t="s">
        <v>108</v>
      </c>
      <c r="I67" s="22" t="s">
        <v>108</v>
      </c>
      <c r="J67" s="21" t="s">
        <v>108</v>
      </c>
      <c r="K67" s="21" t="s">
        <v>108</v>
      </c>
      <c r="L67" s="191" t="s">
        <v>108</v>
      </c>
      <c r="M67" s="191" t="s">
        <v>108</v>
      </c>
      <c r="N67" s="21" t="s">
        <v>108</v>
      </c>
      <c r="O67" s="21" t="s">
        <v>108</v>
      </c>
      <c r="P67" s="21" t="s">
        <v>108</v>
      </c>
      <c r="Q67" s="195" t="s">
        <v>108</v>
      </c>
      <c r="R67" s="22" t="s">
        <v>108</v>
      </c>
      <c r="S67" s="22" t="s">
        <v>108</v>
      </c>
      <c r="T67" s="193" t="s">
        <v>108</v>
      </c>
      <c r="V67" s="25" t="e">
        <v>#VALUE!</v>
      </c>
      <c r="W67" s="205" t="e">
        <v>#VALUE!</v>
      </c>
      <c r="X67" s="21" t="e">
        <v>#VALUE!</v>
      </c>
      <c r="Y67" s="21" t="e">
        <v>#VALUE!</v>
      </c>
      <c r="Z67" s="26" t="e">
        <v>#VALUE!</v>
      </c>
      <c r="AA67" s="21">
        <v>7.0419396889817229E-2</v>
      </c>
      <c r="AB67" s="21" t="e">
        <v>#VALUE!</v>
      </c>
    </row>
    <row r="68" spans="1:28" ht="13.8" x14ac:dyDescent="0.3">
      <c r="A68" s="24" t="s">
        <v>108</v>
      </c>
      <c r="B68" s="24" t="s">
        <v>108</v>
      </c>
      <c r="C68" s="8" t="s">
        <v>108</v>
      </c>
      <c r="D68" s="25" t="s">
        <v>108</v>
      </c>
      <c r="E68" s="25" t="s">
        <v>108</v>
      </c>
      <c r="F68" s="26" t="s">
        <v>108</v>
      </c>
      <c r="G68" s="189" t="s">
        <v>108</v>
      </c>
      <c r="H68" s="25" t="s">
        <v>108</v>
      </c>
      <c r="I68" s="22" t="s">
        <v>108</v>
      </c>
      <c r="J68" s="21" t="s">
        <v>108</v>
      </c>
      <c r="K68" s="21" t="s">
        <v>108</v>
      </c>
      <c r="L68" s="191" t="s">
        <v>108</v>
      </c>
      <c r="M68" s="191" t="s">
        <v>108</v>
      </c>
      <c r="N68" s="21" t="s">
        <v>108</v>
      </c>
      <c r="O68" s="21" t="s">
        <v>108</v>
      </c>
      <c r="P68" s="21" t="s">
        <v>108</v>
      </c>
      <c r="Q68" s="195" t="s">
        <v>108</v>
      </c>
      <c r="R68" s="22" t="s">
        <v>108</v>
      </c>
      <c r="S68" s="22" t="s">
        <v>108</v>
      </c>
      <c r="T68" s="193" t="s">
        <v>108</v>
      </c>
      <c r="V68" s="25" t="e">
        <v>#VALUE!</v>
      </c>
      <c r="W68" s="194" t="e">
        <v>#VALUE!</v>
      </c>
      <c r="X68" s="21" t="e">
        <v>#VALUE!</v>
      </c>
      <c r="Y68" s="21" t="e">
        <v>#VALUE!</v>
      </c>
      <c r="Z68" s="26" t="e">
        <v>#VALUE!</v>
      </c>
      <c r="AA68" s="21">
        <v>7.0419396889817229E-2</v>
      </c>
      <c r="AB68" s="21" t="e">
        <v>#VALUE!</v>
      </c>
    </row>
    <row r="69" spans="1:28" ht="13.8" x14ac:dyDescent="0.3">
      <c r="A69" s="24" t="s">
        <v>108</v>
      </c>
      <c r="B69" s="24" t="s">
        <v>108</v>
      </c>
      <c r="C69" s="8" t="s">
        <v>108</v>
      </c>
      <c r="D69" s="25" t="s">
        <v>108</v>
      </c>
      <c r="E69" s="25" t="s">
        <v>108</v>
      </c>
      <c r="F69" s="26" t="s">
        <v>108</v>
      </c>
      <c r="G69" s="189" t="s">
        <v>108</v>
      </c>
      <c r="H69" s="25" t="s">
        <v>108</v>
      </c>
      <c r="I69" s="22" t="s">
        <v>108</v>
      </c>
      <c r="J69" s="21" t="s">
        <v>108</v>
      </c>
      <c r="K69" s="21" t="s">
        <v>108</v>
      </c>
      <c r="L69" s="191" t="s">
        <v>108</v>
      </c>
      <c r="M69" s="191" t="s">
        <v>108</v>
      </c>
      <c r="N69" s="21" t="s">
        <v>108</v>
      </c>
      <c r="O69" s="21" t="s">
        <v>108</v>
      </c>
      <c r="P69" s="21" t="s">
        <v>108</v>
      </c>
      <c r="Q69" s="195" t="s">
        <v>108</v>
      </c>
      <c r="R69" s="22" t="s">
        <v>108</v>
      </c>
      <c r="S69" s="22" t="s">
        <v>108</v>
      </c>
      <c r="T69" s="193" t="s">
        <v>108</v>
      </c>
      <c r="V69" s="25" t="e">
        <v>#VALUE!</v>
      </c>
      <c r="W69" s="194" t="e">
        <v>#VALUE!</v>
      </c>
      <c r="X69" s="21" t="e">
        <v>#VALUE!</v>
      </c>
      <c r="Y69" s="21" t="e">
        <v>#VALUE!</v>
      </c>
      <c r="Z69" s="26" t="e">
        <v>#VALUE!</v>
      </c>
      <c r="AA69" s="21">
        <v>7.0419396889817229E-2</v>
      </c>
      <c r="AB69" s="21" t="e">
        <v>#VALUE!</v>
      </c>
    </row>
    <row r="70" spans="1:28" ht="13.8" x14ac:dyDescent="0.3">
      <c r="A70" s="24" t="s">
        <v>108</v>
      </c>
      <c r="B70" s="24" t="s">
        <v>108</v>
      </c>
      <c r="C70" s="8" t="s">
        <v>108</v>
      </c>
      <c r="D70" s="25" t="s">
        <v>108</v>
      </c>
      <c r="E70" s="25" t="s">
        <v>108</v>
      </c>
      <c r="F70" s="26" t="s">
        <v>108</v>
      </c>
      <c r="G70" s="189" t="s">
        <v>108</v>
      </c>
      <c r="H70" s="25" t="s">
        <v>108</v>
      </c>
      <c r="I70" s="22" t="s">
        <v>108</v>
      </c>
      <c r="J70" s="21" t="s">
        <v>108</v>
      </c>
      <c r="K70" s="21" t="s">
        <v>108</v>
      </c>
      <c r="L70" s="191" t="s">
        <v>108</v>
      </c>
      <c r="M70" s="191" t="s">
        <v>108</v>
      </c>
      <c r="N70" s="21" t="s">
        <v>108</v>
      </c>
      <c r="O70" s="21" t="s">
        <v>108</v>
      </c>
      <c r="P70" s="21" t="s">
        <v>108</v>
      </c>
      <c r="Q70" s="195" t="s">
        <v>108</v>
      </c>
      <c r="R70" s="22" t="s">
        <v>108</v>
      </c>
      <c r="S70" s="22" t="s">
        <v>108</v>
      </c>
      <c r="T70" s="193" t="s">
        <v>108</v>
      </c>
      <c r="V70" s="25" t="e">
        <v>#VALUE!</v>
      </c>
      <c r="W70" s="194" t="e">
        <v>#VALUE!</v>
      </c>
      <c r="X70" s="21" t="e">
        <v>#VALUE!</v>
      </c>
      <c r="Y70" s="21" t="e">
        <v>#VALUE!</v>
      </c>
      <c r="Z70" s="26" t="e">
        <v>#VALUE!</v>
      </c>
      <c r="AA70" s="21">
        <v>7.0419396889817229E-2</v>
      </c>
      <c r="AB70" s="21" t="e">
        <v>#VALUE!</v>
      </c>
    </row>
    <row r="71" spans="1:28" ht="13.8" x14ac:dyDescent="0.3">
      <c r="A71" s="24" t="s">
        <v>108</v>
      </c>
      <c r="B71" s="24" t="s">
        <v>108</v>
      </c>
      <c r="C71" s="8" t="s">
        <v>108</v>
      </c>
      <c r="D71" s="25" t="s">
        <v>108</v>
      </c>
      <c r="E71" s="25" t="s">
        <v>108</v>
      </c>
      <c r="F71" s="26" t="s">
        <v>108</v>
      </c>
      <c r="G71" s="189" t="s">
        <v>108</v>
      </c>
      <c r="H71" s="25" t="s">
        <v>108</v>
      </c>
      <c r="I71" s="22" t="s">
        <v>108</v>
      </c>
      <c r="J71" s="21" t="s">
        <v>108</v>
      </c>
      <c r="K71" s="21" t="s">
        <v>108</v>
      </c>
      <c r="L71" s="191" t="s">
        <v>108</v>
      </c>
      <c r="M71" s="191" t="s">
        <v>108</v>
      </c>
      <c r="N71" s="21" t="s">
        <v>108</v>
      </c>
      <c r="O71" s="21" t="s">
        <v>108</v>
      </c>
      <c r="P71" s="21" t="s">
        <v>108</v>
      </c>
      <c r="Q71" s="195" t="s">
        <v>108</v>
      </c>
      <c r="R71" s="22" t="s">
        <v>108</v>
      </c>
      <c r="S71" s="22" t="s">
        <v>108</v>
      </c>
      <c r="T71" s="193" t="s">
        <v>108</v>
      </c>
      <c r="V71" s="25" t="e">
        <v>#VALUE!</v>
      </c>
      <c r="W71" s="194" t="e">
        <v>#VALUE!</v>
      </c>
      <c r="X71" s="21" t="e">
        <v>#VALUE!</v>
      </c>
      <c r="Y71" s="21" t="e">
        <v>#VALUE!</v>
      </c>
      <c r="Z71" s="26" t="e">
        <v>#VALUE!</v>
      </c>
      <c r="AA71" s="21">
        <v>7.0419396889817229E-2</v>
      </c>
      <c r="AB71" s="21" t="e">
        <v>#VALUE!</v>
      </c>
    </row>
    <row r="72" spans="1:28" ht="13.8" x14ac:dyDescent="0.3">
      <c r="A72" s="24" t="s">
        <v>108</v>
      </c>
      <c r="B72" s="24" t="s">
        <v>108</v>
      </c>
      <c r="C72" s="8" t="s">
        <v>108</v>
      </c>
      <c r="D72" s="25" t="s">
        <v>108</v>
      </c>
      <c r="E72" s="25" t="s">
        <v>108</v>
      </c>
      <c r="F72" s="26" t="s">
        <v>108</v>
      </c>
      <c r="G72" s="189" t="s">
        <v>108</v>
      </c>
      <c r="H72" s="25" t="s">
        <v>108</v>
      </c>
      <c r="I72" s="22" t="s">
        <v>108</v>
      </c>
      <c r="J72" s="21" t="s">
        <v>108</v>
      </c>
      <c r="K72" s="21" t="s">
        <v>108</v>
      </c>
      <c r="L72" s="191" t="s">
        <v>108</v>
      </c>
      <c r="M72" s="191" t="s">
        <v>108</v>
      </c>
      <c r="N72" s="21" t="s">
        <v>108</v>
      </c>
      <c r="O72" s="21" t="s">
        <v>108</v>
      </c>
      <c r="P72" s="21" t="s">
        <v>108</v>
      </c>
      <c r="Q72" s="195" t="s">
        <v>108</v>
      </c>
      <c r="R72" s="22" t="s">
        <v>108</v>
      </c>
      <c r="S72" s="22" t="s">
        <v>108</v>
      </c>
      <c r="T72" s="193" t="s">
        <v>108</v>
      </c>
      <c r="V72" s="25" t="e">
        <v>#VALUE!</v>
      </c>
      <c r="W72" s="194" t="e">
        <v>#VALUE!</v>
      </c>
      <c r="X72" s="21" t="e">
        <v>#VALUE!</v>
      </c>
      <c r="Y72" s="21" t="e">
        <v>#VALUE!</v>
      </c>
      <c r="Z72" s="26" t="e">
        <v>#VALUE!</v>
      </c>
      <c r="AA72" s="21">
        <v>7.0419396889817229E-2</v>
      </c>
      <c r="AB72" s="21" t="e">
        <v>#VALUE!</v>
      </c>
    </row>
    <row r="73" spans="1:28" ht="13.8" x14ac:dyDescent="0.3">
      <c r="A73" s="24" t="s">
        <v>108</v>
      </c>
      <c r="B73" s="24" t="s">
        <v>108</v>
      </c>
      <c r="C73" s="8" t="s">
        <v>108</v>
      </c>
      <c r="D73" s="25" t="s">
        <v>108</v>
      </c>
      <c r="E73" s="25" t="s">
        <v>108</v>
      </c>
      <c r="F73" s="26" t="s">
        <v>108</v>
      </c>
      <c r="G73" s="189" t="s">
        <v>108</v>
      </c>
      <c r="H73" s="25" t="s">
        <v>108</v>
      </c>
      <c r="I73" s="22" t="s">
        <v>108</v>
      </c>
      <c r="J73" s="21" t="s">
        <v>108</v>
      </c>
      <c r="K73" s="21" t="s">
        <v>108</v>
      </c>
      <c r="L73" s="191" t="s">
        <v>108</v>
      </c>
      <c r="M73" s="191" t="s">
        <v>108</v>
      </c>
      <c r="N73" s="21" t="s">
        <v>108</v>
      </c>
      <c r="O73" s="21" t="s">
        <v>108</v>
      </c>
      <c r="P73" s="21" t="s">
        <v>108</v>
      </c>
      <c r="Q73" s="195" t="s">
        <v>108</v>
      </c>
      <c r="R73" s="22" t="s">
        <v>108</v>
      </c>
      <c r="S73" s="22" t="s">
        <v>108</v>
      </c>
      <c r="T73" s="193" t="s">
        <v>108</v>
      </c>
      <c r="V73" s="25" t="e">
        <v>#VALUE!</v>
      </c>
      <c r="W73" s="194" t="e">
        <v>#VALUE!</v>
      </c>
      <c r="X73" s="21" t="e">
        <v>#VALUE!</v>
      </c>
      <c r="Y73" s="21" t="e">
        <v>#VALUE!</v>
      </c>
      <c r="Z73" s="26" t="e">
        <v>#VALUE!</v>
      </c>
      <c r="AA73" s="21">
        <v>7.0419396889817229E-2</v>
      </c>
      <c r="AB73" s="21" t="e">
        <v>#VALUE!</v>
      </c>
    </row>
    <row r="74" spans="1:28" ht="13.8" x14ac:dyDescent="0.3">
      <c r="A74" s="24" t="s">
        <v>108</v>
      </c>
      <c r="B74" s="24" t="s">
        <v>108</v>
      </c>
      <c r="C74" s="8" t="s">
        <v>108</v>
      </c>
      <c r="D74" s="25" t="s">
        <v>108</v>
      </c>
      <c r="E74" s="25" t="s">
        <v>108</v>
      </c>
      <c r="F74" s="26" t="s">
        <v>108</v>
      </c>
      <c r="G74" s="189" t="s">
        <v>108</v>
      </c>
      <c r="H74" s="25" t="s">
        <v>108</v>
      </c>
      <c r="I74" s="22" t="s">
        <v>108</v>
      </c>
      <c r="J74" s="21" t="s">
        <v>108</v>
      </c>
      <c r="K74" s="21" t="s">
        <v>108</v>
      </c>
      <c r="L74" s="191" t="s">
        <v>108</v>
      </c>
      <c r="M74" s="191" t="s">
        <v>108</v>
      </c>
      <c r="N74" s="21" t="s">
        <v>108</v>
      </c>
      <c r="O74" s="21" t="s">
        <v>108</v>
      </c>
      <c r="P74" s="21" t="s">
        <v>108</v>
      </c>
      <c r="Q74" s="195" t="s">
        <v>108</v>
      </c>
      <c r="R74" s="22" t="s">
        <v>108</v>
      </c>
      <c r="S74" s="22" t="s">
        <v>108</v>
      </c>
      <c r="T74" s="193" t="s">
        <v>108</v>
      </c>
      <c r="V74" s="25" t="e">
        <v>#VALUE!</v>
      </c>
      <c r="W74" s="194" t="e">
        <v>#VALUE!</v>
      </c>
      <c r="X74" s="21" t="e">
        <v>#VALUE!</v>
      </c>
      <c r="Y74" s="21" t="e">
        <v>#VALUE!</v>
      </c>
      <c r="Z74" s="26" t="e">
        <v>#VALUE!</v>
      </c>
      <c r="AA74" s="21">
        <v>7.0419396889817229E-2</v>
      </c>
      <c r="AB74" s="21" t="e">
        <v>#VALUE!</v>
      </c>
    </row>
    <row r="75" spans="1:28" ht="13.8" x14ac:dyDescent="0.3">
      <c r="A75" s="24" t="s">
        <v>108</v>
      </c>
      <c r="B75" s="24" t="s">
        <v>108</v>
      </c>
      <c r="C75" s="8" t="s">
        <v>108</v>
      </c>
      <c r="D75" s="25" t="s">
        <v>108</v>
      </c>
      <c r="E75" s="25" t="s">
        <v>108</v>
      </c>
      <c r="F75" s="26" t="s">
        <v>108</v>
      </c>
      <c r="G75" s="189" t="s">
        <v>108</v>
      </c>
      <c r="H75" s="25" t="s">
        <v>108</v>
      </c>
      <c r="I75" s="22" t="s">
        <v>108</v>
      </c>
      <c r="J75" s="21" t="s">
        <v>108</v>
      </c>
      <c r="K75" s="21" t="s">
        <v>108</v>
      </c>
      <c r="L75" s="191" t="s">
        <v>108</v>
      </c>
      <c r="M75" s="191" t="s">
        <v>108</v>
      </c>
      <c r="N75" s="21" t="s">
        <v>108</v>
      </c>
      <c r="O75" s="21" t="s">
        <v>108</v>
      </c>
      <c r="P75" s="21" t="s">
        <v>108</v>
      </c>
      <c r="Q75" s="195" t="s">
        <v>108</v>
      </c>
      <c r="R75" s="22" t="s">
        <v>108</v>
      </c>
      <c r="S75" s="22" t="s">
        <v>108</v>
      </c>
      <c r="T75" s="193" t="s">
        <v>108</v>
      </c>
      <c r="V75" s="25" t="e">
        <v>#VALUE!</v>
      </c>
      <c r="W75" s="194" t="e">
        <v>#VALUE!</v>
      </c>
      <c r="X75" s="21" t="e">
        <v>#VALUE!</v>
      </c>
      <c r="Y75" s="21" t="e">
        <v>#VALUE!</v>
      </c>
      <c r="Z75" s="26" t="e">
        <v>#VALUE!</v>
      </c>
      <c r="AA75" s="21">
        <v>7.0419396889817229E-2</v>
      </c>
      <c r="AB75" s="21" t="e">
        <v>#VALUE!</v>
      </c>
    </row>
    <row r="76" spans="1:28" ht="13.8" x14ac:dyDescent="0.3">
      <c r="A76" s="24" t="s">
        <v>108</v>
      </c>
      <c r="B76" s="24" t="s">
        <v>108</v>
      </c>
      <c r="C76" s="8" t="s">
        <v>108</v>
      </c>
      <c r="D76" s="25" t="s">
        <v>108</v>
      </c>
      <c r="E76" s="25" t="s">
        <v>108</v>
      </c>
      <c r="F76" s="26" t="s">
        <v>108</v>
      </c>
      <c r="G76" s="189" t="s">
        <v>108</v>
      </c>
      <c r="H76" s="25" t="s">
        <v>108</v>
      </c>
      <c r="I76" s="22" t="s">
        <v>108</v>
      </c>
      <c r="J76" s="21" t="s">
        <v>108</v>
      </c>
      <c r="K76" s="21" t="s">
        <v>108</v>
      </c>
      <c r="L76" s="191" t="s">
        <v>108</v>
      </c>
      <c r="M76" s="191" t="s">
        <v>108</v>
      </c>
      <c r="N76" s="21" t="s">
        <v>108</v>
      </c>
      <c r="O76" s="21" t="s">
        <v>108</v>
      </c>
      <c r="P76" s="21" t="s">
        <v>108</v>
      </c>
      <c r="Q76" s="195" t="s">
        <v>108</v>
      </c>
      <c r="R76" s="22" t="s">
        <v>108</v>
      </c>
      <c r="S76" s="22" t="s">
        <v>108</v>
      </c>
      <c r="T76" s="193" t="s">
        <v>108</v>
      </c>
      <c r="V76" s="25" t="e">
        <v>#VALUE!</v>
      </c>
      <c r="W76" s="194" t="e">
        <v>#VALUE!</v>
      </c>
      <c r="X76" s="21" t="e">
        <v>#VALUE!</v>
      </c>
      <c r="Y76" s="21" t="e">
        <v>#VALUE!</v>
      </c>
      <c r="Z76" s="26" t="e">
        <v>#VALUE!</v>
      </c>
      <c r="AA76" s="21">
        <v>7.0419396889817229E-2</v>
      </c>
      <c r="AB76" s="21" t="e">
        <v>#VALUE!</v>
      </c>
    </row>
    <row r="77" spans="1:28" ht="13.8" x14ac:dyDescent="0.3">
      <c r="A77" s="24" t="s">
        <v>108</v>
      </c>
      <c r="B77" s="24" t="s">
        <v>108</v>
      </c>
      <c r="C77" s="8" t="s">
        <v>108</v>
      </c>
      <c r="D77" s="25" t="s">
        <v>108</v>
      </c>
      <c r="E77" s="25" t="s">
        <v>108</v>
      </c>
      <c r="F77" s="26" t="s">
        <v>108</v>
      </c>
      <c r="G77" s="189" t="s">
        <v>108</v>
      </c>
      <c r="H77" s="25" t="s">
        <v>108</v>
      </c>
      <c r="I77" s="22" t="s">
        <v>108</v>
      </c>
      <c r="J77" s="21" t="s">
        <v>108</v>
      </c>
      <c r="K77" s="21" t="s">
        <v>108</v>
      </c>
      <c r="L77" s="191" t="s">
        <v>108</v>
      </c>
      <c r="M77" s="191" t="s">
        <v>108</v>
      </c>
      <c r="N77" s="21" t="s">
        <v>108</v>
      </c>
      <c r="O77" s="21" t="s">
        <v>108</v>
      </c>
      <c r="P77" s="21" t="s">
        <v>108</v>
      </c>
      <c r="Q77" s="195" t="s">
        <v>108</v>
      </c>
      <c r="R77" s="22" t="s">
        <v>108</v>
      </c>
      <c r="S77" s="22" t="s">
        <v>108</v>
      </c>
      <c r="T77" s="193" t="s">
        <v>108</v>
      </c>
      <c r="V77" s="25" t="e">
        <v>#VALUE!</v>
      </c>
      <c r="W77" s="194" t="e">
        <v>#VALUE!</v>
      </c>
      <c r="X77" s="21" t="e">
        <v>#VALUE!</v>
      </c>
      <c r="Y77" s="21" t="e">
        <v>#VALUE!</v>
      </c>
      <c r="Z77" s="26" t="e">
        <v>#VALUE!</v>
      </c>
      <c r="AA77" s="21">
        <v>7.0419396889817229E-2</v>
      </c>
      <c r="AB77" s="21" t="e">
        <v>#VALUE!</v>
      </c>
    </row>
    <row r="78" spans="1:28" ht="13.8" x14ac:dyDescent="0.3">
      <c r="A78" s="24" t="s">
        <v>108</v>
      </c>
      <c r="B78" s="24" t="s">
        <v>108</v>
      </c>
      <c r="C78" s="8" t="s">
        <v>108</v>
      </c>
      <c r="D78" s="25" t="s">
        <v>108</v>
      </c>
      <c r="E78" s="25" t="s">
        <v>108</v>
      </c>
      <c r="F78" s="26" t="s">
        <v>108</v>
      </c>
      <c r="G78" s="189" t="s">
        <v>108</v>
      </c>
      <c r="H78" s="25" t="s">
        <v>108</v>
      </c>
      <c r="I78" s="22" t="s">
        <v>108</v>
      </c>
      <c r="J78" s="21" t="s">
        <v>108</v>
      </c>
      <c r="K78" s="21" t="s">
        <v>108</v>
      </c>
      <c r="L78" s="191" t="s">
        <v>108</v>
      </c>
      <c r="M78" s="191" t="s">
        <v>108</v>
      </c>
      <c r="N78" s="21" t="s">
        <v>108</v>
      </c>
      <c r="O78" s="21" t="s">
        <v>108</v>
      </c>
      <c r="P78" s="21" t="s">
        <v>108</v>
      </c>
      <c r="Q78" s="195" t="s">
        <v>108</v>
      </c>
      <c r="R78" s="22" t="s">
        <v>108</v>
      </c>
      <c r="S78" s="22" t="s">
        <v>108</v>
      </c>
      <c r="T78" s="193" t="s">
        <v>108</v>
      </c>
      <c r="V78" s="25" t="e">
        <v>#VALUE!</v>
      </c>
      <c r="W78" s="194" t="e">
        <v>#VALUE!</v>
      </c>
      <c r="X78" s="21" t="e">
        <v>#VALUE!</v>
      </c>
      <c r="Y78" s="21" t="e">
        <v>#VALUE!</v>
      </c>
      <c r="Z78" s="26" t="e">
        <v>#VALUE!</v>
      </c>
      <c r="AA78" s="21">
        <v>7.0419396889817229E-2</v>
      </c>
      <c r="AB78" s="21" t="e">
        <v>#VALUE!</v>
      </c>
    </row>
    <row r="79" spans="1:28" ht="13.8" x14ac:dyDescent="0.3">
      <c r="A79" s="24" t="s">
        <v>108</v>
      </c>
      <c r="B79" s="24" t="s">
        <v>108</v>
      </c>
      <c r="C79" s="8" t="s">
        <v>108</v>
      </c>
      <c r="D79" s="25" t="s">
        <v>108</v>
      </c>
      <c r="E79" s="25" t="s">
        <v>108</v>
      </c>
      <c r="F79" s="26" t="s">
        <v>108</v>
      </c>
      <c r="G79" s="189" t="s">
        <v>108</v>
      </c>
      <c r="H79" s="25" t="s">
        <v>108</v>
      </c>
      <c r="I79" s="22" t="s">
        <v>108</v>
      </c>
      <c r="J79" s="21" t="s">
        <v>108</v>
      </c>
      <c r="K79" s="21" t="s">
        <v>108</v>
      </c>
      <c r="L79" s="191" t="s">
        <v>108</v>
      </c>
      <c r="M79" s="191" t="s">
        <v>108</v>
      </c>
      <c r="N79" s="21" t="s">
        <v>108</v>
      </c>
      <c r="O79" s="21" t="s">
        <v>108</v>
      </c>
      <c r="P79" s="21" t="s">
        <v>108</v>
      </c>
      <c r="Q79" s="195" t="s">
        <v>108</v>
      </c>
      <c r="R79" s="22" t="s">
        <v>108</v>
      </c>
      <c r="S79" s="22" t="s">
        <v>108</v>
      </c>
      <c r="T79" s="193" t="s">
        <v>108</v>
      </c>
      <c r="V79" s="25" t="e">
        <v>#VALUE!</v>
      </c>
      <c r="W79" s="205" t="e">
        <v>#VALUE!</v>
      </c>
      <c r="X79" s="21" t="e">
        <v>#VALUE!</v>
      </c>
      <c r="Y79" s="21" t="e">
        <v>#VALUE!</v>
      </c>
      <c r="Z79" s="26" t="e">
        <v>#VALUE!</v>
      </c>
      <c r="AA79" s="21">
        <v>7.0419396889817229E-2</v>
      </c>
      <c r="AB79" s="21" t="e">
        <v>#VALUE!</v>
      </c>
    </row>
    <row r="80" spans="1:28" ht="13.8" x14ac:dyDescent="0.3">
      <c r="A80" s="24" t="s">
        <v>108</v>
      </c>
      <c r="B80" s="24" t="s">
        <v>108</v>
      </c>
      <c r="C80" s="8" t="s">
        <v>108</v>
      </c>
      <c r="D80" s="25" t="s">
        <v>108</v>
      </c>
      <c r="E80" s="25" t="s">
        <v>108</v>
      </c>
      <c r="F80" s="26" t="s">
        <v>108</v>
      </c>
      <c r="G80" s="189" t="s">
        <v>108</v>
      </c>
      <c r="H80" s="25" t="s">
        <v>108</v>
      </c>
      <c r="I80" s="22" t="s">
        <v>108</v>
      </c>
      <c r="J80" s="21" t="s">
        <v>108</v>
      </c>
      <c r="K80" s="21" t="s">
        <v>108</v>
      </c>
      <c r="L80" s="191" t="s">
        <v>108</v>
      </c>
      <c r="M80" s="191" t="s">
        <v>108</v>
      </c>
      <c r="N80" s="21" t="s">
        <v>108</v>
      </c>
      <c r="O80" s="21" t="s">
        <v>108</v>
      </c>
      <c r="P80" s="21" t="s">
        <v>108</v>
      </c>
      <c r="Q80" s="195" t="s">
        <v>108</v>
      </c>
      <c r="R80" s="22" t="s">
        <v>108</v>
      </c>
      <c r="S80" s="22" t="s">
        <v>108</v>
      </c>
      <c r="T80" s="193" t="s">
        <v>108</v>
      </c>
      <c r="V80" s="25" t="e">
        <v>#VALUE!</v>
      </c>
      <c r="W80" s="194" t="e">
        <v>#VALUE!</v>
      </c>
      <c r="X80" s="21" t="e">
        <v>#VALUE!</v>
      </c>
      <c r="Y80" s="21" t="e">
        <v>#VALUE!</v>
      </c>
      <c r="Z80" s="26" t="e">
        <v>#VALUE!</v>
      </c>
      <c r="AA80" s="21">
        <v>7.0419396889817229E-2</v>
      </c>
      <c r="AB80" s="21" t="e">
        <v>#VALUE!</v>
      </c>
    </row>
    <row r="81" spans="1:28" ht="13.8" x14ac:dyDescent="0.3">
      <c r="A81" s="24" t="s">
        <v>108</v>
      </c>
      <c r="B81" s="24" t="s">
        <v>108</v>
      </c>
      <c r="C81" s="8" t="s">
        <v>108</v>
      </c>
      <c r="D81" s="25" t="s">
        <v>108</v>
      </c>
      <c r="E81" s="25" t="s">
        <v>108</v>
      </c>
      <c r="F81" s="26" t="s">
        <v>108</v>
      </c>
      <c r="G81" s="189" t="s">
        <v>108</v>
      </c>
      <c r="H81" s="25" t="s">
        <v>108</v>
      </c>
      <c r="I81" s="22" t="s">
        <v>108</v>
      </c>
      <c r="J81" s="21" t="s">
        <v>108</v>
      </c>
      <c r="K81" s="21" t="s">
        <v>108</v>
      </c>
      <c r="L81" s="191" t="s">
        <v>108</v>
      </c>
      <c r="M81" s="191" t="s">
        <v>108</v>
      </c>
      <c r="N81" s="21" t="s">
        <v>108</v>
      </c>
      <c r="O81" s="21" t="s">
        <v>108</v>
      </c>
      <c r="P81" s="21" t="s">
        <v>108</v>
      </c>
      <c r="Q81" s="195" t="s">
        <v>108</v>
      </c>
      <c r="R81" s="22" t="s">
        <v>108</v>
      </c>
      <c r="S81" s="22" t="s">
        <v>108</v>
      </c>
      <c r="T81" s="193" t="s">
        <v>108</v>
      </c>
      <c r="V81" s="25" t="e">
        <v>#VALUE!</v>
      </c>
      <c r="W81" s="194" t="e">
        <v>#VALUE!</v>
      </c>
      <c r="X81" s="21" t="e">
        <v>#VALUE!</v>
      </c>
      <c r="Y81" s="21" t="e">
        <v>#VALUE!</v>
      </c>
      <c r="Z81" s="26" t="e">
        <v>#VALUE!</v>
      </c>
      <c r="AA81" s="21">
        <v>7.0419396889817229E-2</v>
      </c>
      <c r="AB81" s="21" t="e">
        <v>#VALUE!</v>
      </c>
    </row>
    <row r="82" spans="1:28" ht="13.8" x14ac:dyDescent="0.3">
      <c r="A82" s="24" t="s">
        <v>108</v>
      </c>
      <c r="B82" s="24" t="s">
        <v>108</v>
      </c>
      <c r="C82" s="8" t="s">
        <v>108</v>
      </c>
      <c r="D82" s="25" t="s">
        <v>108</v>
      </c>
      <c r="E82" s="25" t="s">
        <v>108</v>
      </c>
      <c r="F82" s="26" t="s">
        <v>108</v>
      </c>
      <c r="G82" s="189" t="s">
        <v>108</v>
      </c>
      <c r="H82" s="25" t="s">
        <v>108</v>
      </c>
      <c r="I82" s="22" t="s">
        <v>108</v>
      </c>
      <c r="J82" s="21" t="s">
        <v>108</v>
      </c>
      <c r="K82" s="21" t="s">
        <v>108</v>
      </c>
      <c r="L82" s="191" t="s">
        <v>108</v>
      </c>
      <c r="M82" s="191" t="s">
        <v>108</v>
      </c>
      <c r="N82" s="21" t="s">
        <v>108</v>
      </c>
      <c r="O82" s="21" t="s">
        <v>108</v>
      </c>
      <c r="P82" s="21" t="s">
        <v>108</v>
      </c>
      <c r="Q82" s="195" t="s">
        <v>108</v>
      </c>
      <c r="R82" s="22" t="s">
        <v>108</v>
      </c>
      <c r="S82" s="22" t="s">
        <v>108</v>
      </c>
      <c r="T82" s="193" t="s">
        <v>108</v>
      </c>
      <c r="V82" s="25" t="e">
        <v>#VALUE!</v>
      </c>
      <c r="W82" s="194" t="e">
        <v>#VALUE!</v>
      </c>
      <c r="X82" s="21" t="e">
        <v>#VALUE!</v>
      </c>
      <c r="Y82" s="21" t="e">
        <v>#VALUE!</v>
      </c>
      <c r="Z82" s="26" t="e">
        <v>#VALUE!</v>
      </c>
      <c r="AA82" s="21">
        <v>7.0419396889817229E-2</v>
      </c>
      <c r="AB82" s="21" t="e">
        <v>#VALUE!</v>
      </c>
    </row>
    <row r="83" spans="1:28" ht="13.8" x14ac:dyDescent="0.3">
      <c r="A83" s="24" t="s">
        <v>108</v>
      </c>
      <c r="B83" s="24" t="s">
        <v>108</v>
      </c>
      <c r="C83" s="8" t="s">
        <v>108</v>
      </c>
      <c r="D83" s="25" t="s">
        <v>108</v>
      </c>
      <c r="E83" s="25" t="s">
        <v>108</v>
      </c>
      <c r="F83" s="26" t="s">
        <v>108</v>
      </c>
      <c r="G83" s="189" t="s">
        <v>108</v>
      </c>
      <c r="H83" s="25" t="s">
        <v>108</v>
      </c>
      <c r="I83" s="22" t="s">
        <v>108</v>
      </c>
      <c r="J83" s="21" t="s">
        <v>108</v>
      </c>
      <c r="K83" s="21" t="s">
        <v>108</v>
      </c>
      <c r="L83" s="191" t="s">
        <v>108</v>
      </c>
      <c r="M83" s="191" t="s">
        <v>108</v>
      </c>
      <c r="N83" s="21" t="s">
        <v>108</v>
      </c>
      <c r="O83" s="21" t="s">
        <v>108</v>
      </c>
      <c r="P83" s="21" t="s">
        <v>108</v>
      </c>
      <c r="Q83" s="195" t="s">
        <v>108</v>
      </c>
      <c r="R83" s="22" t="s">
        <v>108</v>
      </c>
      <c r="S83" s="22" t="s">
        <v>108</v>
      </c>
      <c r="T83" s="193" t="s">
        <v>108</v>
      </c>
      <c r="V83" s="25" t="e">
        <v>#VALUE!</v>
      </c>
      <c r="W83" s="194" t="e">
        <v>#VALUE!</v>
      </c>
      <c r="X83" s="21" t="e">
        <v>#VALUE!</v>
      </c>
      <c r="Y83" s="21" t="e">
        <v>#VALUE!</v>
      </c>
      <c r="Z83" s="26" t="e">
        <v>#VALUE!</v>
      </c>
      <c r="AA83" s="21">
        <v>7.0419396889817229E-2</v>
      </c>
      <c r="AB83" s="21" t="e">
        <v>#VALUE!</v>
      </c>
    </row>
    <row r="84" spans="1:28" ht="13.8" x14ac:dyDescent="0.3">
      <c r="A84" s="24" t="s">
        <v>108</v>
      </c>
      <c r="B84" s="24" t="s">
        <v>108</v>
      </c>
      <c r="C84" s="8" t="s">
        <v>108</v>
      </c>
      <c r="D84" s="25" t="s">
        <v>108</v>
      </c>
      <c r="E84" s="25" t="s">
        <v>108</v>
      </c>
      <c r="F84" s="26" t="s">
        <v>108</v>
      </c>
      <c r="G84" s="189" t="s">
        <v>108</v>
      </c>
      <c r="H84" s="25" t="s">
        <v>108</v>
      </c>
      <c r="I84" s="22" t="s">
        <v>108</v>
      </c>
      <c r="J84" s="21" t="s">
        <v>108</v>
      </c>
      <c r="K84" s="21" t="s">
        <v>108</v>
      </c>
      <c r="L84" s="191" t="s">
        <v>108</v>
      </c>
      <c r="M84" s="191" t="s">
        <v>108</v>
      </c>
      <c r="N84" s="21" t="s">
        <v>108</v>
      </c>
      <c r="O84" s="21" t="s">
        <v>108</v>
      </c>
      <c r="P84" s="21" t="s">
        <v>108</v>
      </c>
      <c r="Q84" s="195" t="s">
        <v>108</v>
      </c>
      <c r="R84" s="22" t="s">
        <v>108</v>
      </c>
      <c r="S84" s="22" t="s">
        <v>108</v>
      </c>
      <c r="T84" s="193" t="s">
        <v>108</v>
      </c>
      <c r="V84" s="25" t="e">
        <v>#VALUE!</v>
      </c>
      <c r="W84" s="194" t="e">
        <v>#VALUE!</v>
      </c>
      <c r="X84" s="21" t="e">
        <v>#VALUE!</v>
      </c>
      <c r="Y84" s="21" t="e">
        <v>#VALUE!</v>
      </c>
      <c r="Z84" s="26" t="e">
        <v>#VALUE!</v>
      </c>
      <c r="AA84" s="21">
        <v>7.0419396889817229E-2</v>
      </c>
      <c r="AB84" s="21" t="e">
        <v>#VALUE!</v>
      </c>
    </row>
    <row r="85" spans="1:28" ht="13.8" x14ac:dyDescent="0.3">
      <c r="A85" s="24" t="s">
        <v>108</v>
      </c>
      <c r="B85" s="24" t="s">
        <v>108</v>
      </c>
      <c r="C85" s="8" t="s">
        <v>108</v>
      </c>
      <c r="D85" s="25" t="s">
        <v>108</v>
      </c>
      <c r="E85" s="25" t="s">
        <v>108</v>
      </c>
      <c r="F85" s="26" t="s">
        <v>108</v>
      </c>
      <c r="G85" s="189" t="s">
        <v>108</v>
      </c>
      <c r="H85" s="25" t="s">
        <v>108</v>
      </c>
      <c r="I85" s="22" t="s">
        <v>108</v>
      </c>
      <c r="J85" s="21" t="s">
        <v>108</v>
      </c>
      <c r="K85" s="21" t="s">
        <v>108</v>
      </c>
      <c r="L85" s="191" t="s">
        <v>108</v>
      </c>
      <c r="M85" s="191" t="s">
        <v>108</v>
      </c>
      <c r="N85" s="21" t="s">
        <v>108</v>
      </c>
      <c r="O85" s="21" t="s">
        <v>108</v>
      </c>
      <c r="P85" s="21" t="s">
        <v>108</v>
      </c>
      <c r="Q85" s="195" t="s">
        <v>108</v>
      </c>
      <c r="R85" s="22" t="s">
        <v>108</v>
      </c>
      <c r="S85" s="22" t="s">
        <v>108</v>
      </c>
      <c r="T85" s="193" t="s">
        <v>108</v>
      </c>
      <c r="V85" s="25" t="e">
        <v>#VALUE!</v>
      </c>
      <c r="W85" s="194" t="e">
        <v>#VALUE!</v>
      </c>
      <c r="X85" s="21" t="e">
        <v>#VALUE!</v>
      </c>
      <c r="Y85" s="21" t="e">
        <v>#VALUE!</v>
      </c>
      <c r="Z85" s="26" t="e">
        <v>#VALUE!</v>
      </c>
      <c r="AA85" s="21">
        <v>7.0419396889817229E-2</v>
      </c>
      <c r="AB85" s="21" t="e">
        <v>#VALUE!</v>
      </c>
    </row>
    <row r="86" spans="1:28" ht="13.8" x14ac:dyDescent="0.3">
      <c r="A86" s="24" t="s">
        <v>108</v>
      </c>
      <c r="B86" s="24" t="s">
        <v>108</v>
      </c>
      <c r="C86" s="8" t="s">
        <v>108</v>
      </c>
      <c r="D86" s="25" t="s">
        <v>108</v>
      </c>
      <c r="E86" s="25" t="s">
        <v>108</v>
      </c>
      <c r="F86" s="26" t="s">
        <v>108</v>
      </c>
      <c r="G86" s="189" t="s">
        <v>108</v>
      </c>
      <c r="H86" s="25" t="s">
        <v>108</v>
      </c>
      <c r="I86" s="22" t="s">
        <v>108</v>
      </c>
      <c r="J86" s="21" t="s">
        <v>108</v>
      </c>
      <c r="K86" s="21" t="s">
        <v>108</v>
      </c>
      <c r="L86" s="191" t="s">
        <v>108</v>
      </c>
      <c r="M86" s="191" t="s">
        <v>108</v>
      </c>
      <c r="N86" s="21" t="s">
        <v>108</v>
      </c>
      <c r="O86" s="21" t="s">
        <v>108</v>
      </c>
      <c r="P86" s="21" t="s">
        <v>108</v>
      </c>
      <c r="Q86" s="195" t="s">
        <v>108</v>
      </c>
      <c r="R86" s="22" t="s">
        <v>108</v>
      </c>
      <c r="S86" s="22" t="s">
        <v>108</v>
      </c>
      <c r="T86" s="193" t="s">
        <v>108</v>
      </c>
      <c r="V86" s="25" t="e">
        <v>#VALUE!</v>
      </c>
      <c r="W86" s="194" t="e">
        <v>#VALUE!</v>
      </c>
      <c r="X86" s="21" t="e">
        <v>#VALUE!</v>
      </c>
      <c r="Y86" s="21" t="e">
        <v>#VALUE!</v>
      </c>
      <c r="Z86" s="26" t="e">
        <v>#VALUE!</v>
      </c>
      <c r="AA86" s="21">
        <v>7.0419396889817229E-2</v>
      </c>
      <c r="AB86" s="21" t="e">
        <v>#VALUE!</v>
      </c>
    </row>
    <row r="87" spans="1:28" ht="13.8" x14ac:dyDescent="0.3">
      <c r="A87" s="24" t="s">
        <v>108</v>
      </c>
      <c r="B87" s="24" t="s">
        <v>108</v>
      </c>
      <c r="C87" s="8" t="s">
        <v>108</v>
      </c>
      <c r="D87" s="25" t="s">
        <v>108</v>
      </c>
      <c r="E87" s="25" t="s">
        <v>108</v>
      </c>
      <c r="F87" s="26" t="s">
        <v>108</v>
      </c>
      <c r="G87" s="189" t="s">
        <v>108</v>
      </c>
      <c r="H87" s="25" t="s">
        <v>108</v>
      </c>
      <c r="I87" s="22" t="s">
        <v>108</v>
      </c>
      <c r="J87" s="21" t="s">
        <v>108</v>
      </c>
      <c r="K87" s="21" t="s">
        <v>108</v>
      </c>
      <c r="L87" s="191" t="s">
        <v>108</v>
      </c>
      <c r="M87" s="191" t="s">
        <v>108</v>
      </c>
      <c r="N87" s="21" t="s">
        <v>108</v>
      </c>
      <c r="O87" s="21" t="s">
        <v>108</v>
      </c>
      <c r="P87" s="21" t="s">
        <v>108</v>
      </c>
      <c r="Q87" s="195" t="s">
        <v>108</v>
      </c>
      <c r="R87" s="22" t="s">
        <v>108</v>
      </c>
      <c r="S87" s="22" t="s">
        <v>108</v>
      </c>
      <c r="T87" s="193" t="s">
        <v>108</v>
      </c>
      <c r="V87" s="25" t="e">
        <v>#VALUE!</v>
      </c>
      <c r="W87" s="194" t="e">
        <v>#VALUE!</v>
      </c>
      <c r="X87" s="21" t="e">
        <v>#VALUE!</v>
      </c>
      <c r="Y87" s="21" t="e">
        <v>#VALUE!</v>
      </c>
      <c r="Z87" s="26" t="e">
        <v>#VALUE!</v>
      </c>
      <c r="AA87" s="21">
        <v>7.0419396889817229E-2</v>
      </c>
      <c r="AB87" s="21" t="e">
        <v>#VALUE!</v>
      </c>
    </row>
    <row r="88" spans="1:28" ht="13.8" x14ac:dyDescent="0.3">
      <c r="A88" s="24" t="s">
        <v>108</v>
      </c>
      <c r="B88" s="24" t="s">
        <v>108</v>
      </c>
      <c r="C88" s="8" t="s">
        <v>108</v>
      </c>
      <c r="D88" s="25" t="s">
        <v>108</v>
      </c>
      <c r="E88" s="25" t="s">
        <v>108</v>
      </c>
      <c r="F88" s="26" t="s">
        <v>108</v>
      </c>
      <c r="G88" s="189" t="s">
        <v>108</v>
      </c>
      <c r="H88" s="25" t="s">
        <v>108</v>
      </c>
      <c r="I88" s="22" t="s">
        <v>108</v>
      </c>
      <c r="J88" s="21" t="s">
        <v>108</v>
      </c>
      <c r="K88" s="21" t="s">
        <v>108</v>
      </c>
      <c r="L88" s="191" t="s">
        <v>108</v>
      </c>
      <c r="M88" s="191" t="s">
        <v>108</v>
      </c>
      <c r="N88" s="21" t="s">
        <v>108</v>
      </c>
      <c r="O88" s="21" t="s">
        <v>108</v>
      </c>
      <c r="P88" s="21" t="s">
        <v>108</v>
      </c>
      <c r="Q88" s="195" t="s">
        <v>108</v>
      </c>
      <c r="R88" s="22" t="s">
        <v>108</v>
      </c>
      <c r="S88" s="22" t="s">
        <v>108</v>
      </c>
      <c r="T88" s="193" t="s">
        <v>108</v>
      </c>
      <c r="V88" s="25" t="e">
        <v>#VALUE!</v>
      </c>
      <c r="W88" s="194" t="e">
        <v>#VALUE!</v>
      </c>
      <c r="X88" s="21" t="e">
        <v>#VALUE!</v>
      </c>
      <c r="Y88" s="21" t="e">
        <v>#VALUE!</v>
      </c>
      <c r="Z88" s="26" t="e">
        <v>#VALUE!</v>
      </c>
      <c r="AA88" s="21">
        <v>7.0419396889817229E-2</v>
      </c>
      <c r="AB88" s="21" t="e">
        <v>#VALUE!</v>
      </c>
    </row>
    <row r="89" spans="1:28" ht="13.8" x14ac:dyDescent="0.3">
      <c r="A89" s="24" t="s">
        <v>108</v>
      </c>
      <c r="B89" s="24" t="s">
        <v>108</v>
      </c>
      <c r="C89" s="8" t="s">
        <v>108</v>
      </c>
      <c r="D89" s="25" t="s">
        <v>108</v>
      </c>
      <c r="E89" s="25" t="s">
        <v>108</v>
      </c>
      <c r="F89" s="26" t="s">
        <v>108</v>
      </c>
      <c r="G89" s="189" t="s">
        <v>108</v>
      </c>
      <c r="H89" s="25" t="s">
        <v>108</v>
      </c>
      <c r="I89" s="22" t="s">
        <v>108</v>
      </c>
      <c r="J89" s="21" t="s">
        <v>108</v>
      </c>
      <c r="K89" s="21" t="s">
        <v>108</v>
      </c>
      <c r="L89" s="191" t="s">
        <v>108</v>
      </c>
      <c r="M89" s="191" t="s">
        <v>108</v>
      </c>
      <c r="N89" s="21" t="s">
        <v>108</v>
      </c>
      <c r="O89" s="21" t="s">
        <v>108</v>
      </c>
      <c r="P89" s="21" t="s">
        <v>108</v>
      </c>
      <c r="Q89" s="195" t="s">
        <v>108</v>
      </c>
      <c r="R89" s="22" t="s">
        <v>108</v>
      </c>
      <c r="S89" s="22" t="s">
        <v>108</v>
      </c>
      <c r="T89" s="193" t="s">
        <v>108</v>
      </c>
      <c r="V89" s="25" t="e">
        <v>#VALUE!</v>
      </c>
      <c r="W89" s="194" t="e">
        <v>#VALUE!</v>
      </c>
      <c r="X89" s="21" t="e">
        <v>#VALUE!</v>
      </c>
      <c r="Y89" s="21" t="e">
        <v>#VALUE!</v>
      </c>
      <c r="Z89" s="26" t="e">
        <v>#VALUE!</v>
      </c>
      <c r="AA89" s="21">
        <v>7.0419396889817229E-2</v>
      </c>
      <c r="AB89" s="21" t="e">
        <v>#VALUE!</v>
      </c>
    </row>
    <row r="90" spans="1:28" ht="13.8" x14ac:dyDescent="0.3">
      <c r="A90" s="24" t="s">
        <v>108</v>
      </c>
      <c r="B90" s="24" t="s">
        <v>108</v>
      </c>
      <c r="C90" s="8" t="s">
        <v>108</v>
      </c>
      <c r="D90" s="25" t="s">
        <v>108</v>
      </c>
      <c r="E90" s="25" t="s">
        <v>108</v>
      </c>
      <c r="F90" s="26" t="s">
        <v>108</v>
      </c>
      <c r="G90" s="189" t="s">
        <v>108</v>
      </c>
      <c r="H90" s="25" t="s">
        <v>108</v>
      </c>
      <c r="I90" s="22" t="s">
        <v>108</v>
      </c>
      <c r="J90" s="21" t="s">
        <v>108</v>
      </c>
      <c r="K90" s="21" t="s">
        <v>108</v>
      </c>
      <c r="L90" s="191" t="s">
        <v>108</v>
      </c>
      <c r="M90" s="191" t="s">
        <v>108</v>
      </c>
      <c r="N90" s="21" t="s">
        <v>108</v>
      </c>
      <c r="O90" s="21" t="s">
        <v>108</v>
      </c>
      <c r="P90" s="21" t="s">
        <v>108</v>
      </c>
      <c r="Q90" s="195" t="s">
        <v>108</v>
      </c>
      <c r="R90" s="22" t="s">
        <v>108</v>
      </c>
      <c r="S90" s="22" t="s">
        <v>108</v>
      </c>
      <c r="T90" s="193" t="s">
        <v>108</v>
      </c>
      <c r="V90" s="25" t="e">
        <v>#VALUE!</v>
      </c>
      <c r="W90" s="194" t="e">
        <v>#VALUE!</v>
      </c>
      <c r="X90" s="21" t="e">
        <v>#VALUE!</v>
      </c>
      <c r="Y90" s="21" t="e">
        <v>#VALUE!</v>
      </c>
      <c r="Z90" s="26" t="e">
        <v>#VALUE!</v>
      </c>
      <c r="AA90" s="21">
        <v>7.0419396889817229E-2</v>
      </c>
      <c r="AB90" s="21" t="e">
        <v>#VALUE!</v>
      </c>
    </row>
    <row r="91" spans="1:28" ht="13.8" x14ac:dyDescent="0.3">
      <c r="A91" s="24" t="s">
        <v>108</v>
      </c>
      <c r="B91" s="24" t="s">
        <v>108</v>
      </c>
      <c r="C91" s="8" t="s">
        <v>108</v>
      </c>
      <c r="D91" s="25" t="s">
        <v>108</v>
      </c>
      <c r="E91" s="25" t="s">
        <v>108</v>
      </c>
      <c r="F91" s="26" t="s">
        <v>108</v>
      </c>
      <c r="G91" s="189" t="s">
        <v>108</v>
      </c>
      <c r="H91" s="25" t="s">
        <v>108</v>
      </c>
      <c r="I91" s="22" t="s">
        <v>108</v>
      </c>
      <c r="J91" s="21" t="s">
        <v>108</v>
      </c>
      <c r="K91" s="21" t="s">
        <v>108</v>
      </c>
      <c r="L91" s="191" t="s">
        <v>108</v>
      </c>
      <c r="M91" s="191" t="s">
        <v>108</v>
      </c>
      <c r="N91" s="21" t="s">
        <v>108</v>
      </c>
      <c r="O91" s="21" t="s">
        <v>108</v>
      </c>
      <c r="P91" s="21" t="s">
        <v>108</v>
      </c>
      <c r="Q91" s="195" t="s">
        <v>108</v>
      </c>
      <c r="R91" s="22" t="s">
        <v>108</v>
      </c>
      <c r="S91" s="22" t="s">
        <v>108</v>
      </c>
      <c r="T91" s="193" t="s">
        <v>108</v>
      </c>
      <c r="V91" s="25" t="e">
        <v>#VALUE!</v>
      </c>
      <c r="W91" s="194" t="e">
        <v>#VALUE!</v>
      </c>
      <c r="X91" s="21" t="e">
        <v>#VALUE!</v>
      </c>
      <c r="Y91" s="21" t="e">
        <v>#VALUE!</v>
      </c>
      <c r="Z91" s="26" t="e">
        <v>#VALUE!</v>
      </c>
      <c r="AA91" s="21">
        <v>7.0419396889817229E-2</v>
      </c>
      <c r="AB91" s="21" t="e">
        <v>#VALUE!</v>
      </c>
    </row>
    <row r="92" spans="1:28" ht="13.8" x14ac:dyDescent="0.3">
      <c r="A92" s="24" t="s">
        <v>108</v>
      </c>
      <c r="B92" s="24" t="s">
        <v>108</v>
      </c>
      <c r="C92" s="8" t="s">
        <v>108</v>
      </c>
      <c r="D92" s="25" t="s">
        <v>108</v>
      </c>
      <c r="E92" s="25" t="s">
        <v>108</v>
      </c>
      <c r="F92" s="26" t="s">
        <v>108</v>
      </c>
      <c r="G92" s="189" t="s">
        <v>108</v>
      </c>
      <c r="H92" s="25" t="s">
        <v>108</v>
      </c>
      <c r="I92" s="22" t="s">
        <v>108</v>
      </c>
      <c r="J92" s="21" t="s">
        <v>108</v>
      </c>
      <c r="K92" s="21" t="s">
        <v>108</v>
      </c>
      <c r="L92" s="191" t="s">
        <v>108</v>
      </c>
      <c r="M92" s="191" t="s">
        <v>108</v>
      </c>
      <c r="N92" s="21" t="s">
        <v>108</v>
      </c>
      <c r="O92" s="21" t="s">
        <v>108</v>
      </c>
      <c r="P92" s="21" t="s">
        <v>108</v>
      </c>
      <c r="Q92" s="195" t="s">
        <v>108</v>
      </c>
      <c r="R92" s="22" t="s">
        <v>108</v>
      </c>
      <c r="S92" s="22" t="s">
        <v>108</v>
      </c>
      <c r="T92" s="193" t="s">
        <v>108</v>
      </c>
      <c r="V92" s="25" t="e">
        <v>#VALUE!</v>
      </c>
      <c r="W92" s="194" t="e">
        <v>#VALUE!</v>
      </c>
      <c r="X92" s="21" t="e">
        <v>#VALUE!</v>
      </c>
      <c r="Y92" s="21" t="e">
        <v>#VALUE!</v>
      </c>
      <c r="Z92" s="26" t="e">
        <v>#VALUE!</v>
      </c>
      <c r="AA92" s="21">
        <v>7.0419396889817229E-2</v>
      </c>
      <c r="AB92" s="21" t="e">
        <v>#VALUE!</v>
      </c>
    </row>
    <row r="93" spans="1:28" ht="13.8" x14ac:dyDescent="0.3">
      <c r="A93" s="24" t="s">
        <v>108</v>
      </c>
      <c r="B93" s="24" t="s">
        <v>108</v>
      </c>
      <c r="C93" s="8" t="s">
        <v>108</v>
      </c>
      <c r="D93" s="25" t="s">
        <v>108</v>
      </c>
      <c r="E93" s="25" t="s">
        <v>108</v>
      </c>
      <c r="F93" s="26" t="s">
        <v>108</v>
      </c>
      <c r="G93" s="189" t="s">
        <v>108</v>
      </c>
      <c r="H93" s="25" t="s">
        <v>108</v>
      </c>
      <c r="I93" s="22" t="s">
        <v>108</v>
      </c>
      <c r="J93" s="21" t="s">
        <v>108</v>
      </c>
      <c r="K93" s="21" t="s">
        <v>108</v>
      </c>
      <c r="L93" s="191" t="s">
        <v>108</v>
      </c>
      <c r="M93" s="191" t="s">
        <v>108</v>
      </c>
      <c r="N93" s="21" t="s">
        <v>108</v>
      </c>
      <c r="O93" s="21" t="s">
        <v>108</v>
      </c>
      <c r="P93" s="21" t="s">
        <v>108</v>
      </c>
      <c r="Q93" s="195" t="s">
        <v>108</v>
      </c>
      <c r="R93" s="22" t="s">
        <v>108</v>
      </c>
      <c r="S93" s="22" t="s">
        <v>108</v>
      </c>
      <c r="T93" s="193" t="s">
        <v>108</v>
      </c>
      <c r="V93" s="25" t="e">
        <v>#VALUE!</v>
      </c>
      <c r="W93" s="194" t="e">
        <v>#VALUE!</v>
      </c>
      <c r="X93" s="21" t="e">
        <v>#VALUE!</v>
      </c>
      <c r="Y93" s="21" t="e">
        <v>#VALUE!</v>
      </c>
      <c r="Z93" s="26" t="e">
        <v>#VALUE!</v>
      </c>
      <c r="AA93" s="21">
        <v>7.0419396889817229E-2</v>
      </c>
      <c r="AB93" s="21" t="e">
        <v>#VALUE!</v>
      </c>
    </row>
    <row r="94" spans="1:28" ht="13.8" x14ac:dyDescent="0.3">
      <c r="A94" s="24" t="s">
        <v>108</v>
      </c>
      <c r="B94" s="24" t="s">
        <v>108</v>
      </c>
      <c r="C94" s="8" t="s">
        <v>108</v>
      </c>
      <c r="D94" s="25" t="s">
        <v>108</v>
      </c>
      <c r="E94" s="25" t="s">
        <v>108</v>
      </c>
      <c r="F94" s="26" t="s">
        <v>108</v>
      </c>
      <c r="G94" s="189" t="s">
        <v>108</v>
      </c>
      <c r="H94" s="25" t="s">
        <v>108</v>
      </c>
      <c r="I94" s="22" t="s">
        <v>108</v>
      </c>
      <c r="J94" s="21" t="s">
        <v>108</v>
      </c>
      <c r="K94" s="21" t="s">
        <v>108</v>
      </c>
      <c r="L94" s="191" t="s">
        <v>108</v>
      </c>
      <c r="M94" s="191" t="s">
        <v>108</v>
      </c>
      <c r="N94" s="21" t="s">
        <v>108</v>
      </c>
      <c r="O94" s="21" t="s">
        <v>108</v>
      </c>
      <c r="P94" s="21" t="s">
        <v>108</v>
      </c>
      <c r="Q94" s="195" t="s">
        <v>108</v>
      </c>
      <c r="R94" s="22" t="s">
        <v>108</v>
      </c>
      <c r="S94" s="22" t="s">
        <v>108</v>
      </c>
      <c r="T94" s="193" t="s">
        <v>108</v>
      </c>
      <c r="V94" s="25" t="e">
        <v>#VALUE!</v>
      </c>
      <c r="W94" s="194" t="e">
        <v>#VALUE!</v>
      </c>
      <c r="X94" s="21" t="e">
        <v>#VALUE!</v>
      </c>
      <c r="Y94" s="21" t="e">
        <v>#VALUE!</v>
      </c>
      <c r="Z94" s="26" t="e">
        <v>#VALUE!</v>
      </c>
      <c r="AA94" s="21">
        <v>7.0419396889817229E-2</v>
      </c>
      <c r="AB94" s="21" t="e">
        <v>#VALUE!</v>
      </c>
    </row>
    <row r="95" spans="1:28" ht="13.8" x14ac:dyDescent="0.3">
      <c r="A95" s="24" t="s">
        <v>108</v>
      </c>
      <c r="B95" s="24" t="s">
        <v>108</v>
      </c>
      <c r="C95" s="8" t="s">
        <v>108</v>
      </c>
      <c r="D95" s="25" t="s">
        <v>108</v>
      </c>
      <c r="E95" s="25" t="s">
        <v>108</v>
      </c>
      <c r="F95" s="26" t="s">
        <v>108</v>
      </c>
      <c r="G95" s="189" t="s">
        <v>108</v>
      </c>
      <c r="H95" s="25" t="s">
        <v>108</v>
      </c>
      <c r="I95" s="22" t="s">
        <v>108</v>
      </c>
      <c r="J95" s="21" t="s">
        <v>108</v>
      </c>
      <c r="K95" s="21" t="s">
        <v>108</v>
      </c>
      <c r="L95" s="191" t="s">
        <v>108</v>
      </c>
      <c r="M95" s="191" t="s">
        <v>108</v>
      </c>
      <c r="N95" s="21" t="s">
        <v>108</v>
      </c>
      <c r="O95" s="21" t="s">
        <v>108</v>
      </c>
      <c r="P95" s="21" t="s">
        <v>108</v>
      </c>
      <c r="Q95" s="195" t="s">
        <v>108</v>
      </c>
      <c r="R95" s="22" t="s">
        <v>108</v>
      </c>
      <c r="S95" s="22" t="s">
        <v>108</v>
      </c>
      <c r="T95" s="193" t="s">
        <v>108</v>
      </c>
      <c r="V95" s="25" t="e">
        <v>#VALUE!</v>
      </c>
      <c r="W95" s="194" t="e">
        <v>#VALUE!</v>
      </c>
      <c r="X95" s="21" t="e">
        <v>#VALUE!</v>
      </c>
      <c r="Y95" s="21" t="e">
        <v>#VALUE!</v>
      </c>
      <c r="Z95" s="26" t="e">
        <v>#VALUE!</v>
      </c>
      <c r="AA95" s="21">
        <v>7.0419396889817229E-2</v>
      </c>
      <c r="AB95" s="21" t="e">
        <v>#VALUE!</v>
      </c>
    </row>
    <row r="96" spans="1:28" ht="13.8" x14ac:dyDescent="0.3">
      <c r="A96" s="24" t="s">
        <v>108</v>
      </c>
      <c r="B96" s="24" t="s">
        <v>108</v>
      </c>
      <c r="C96" s="8" t="s">
        <v>108</v>
      </c>
      <c r="D96" s="25" t="s">
        <v>108</v>
      </c>
      <c r="E96" s="25" t="s">
        <v>108</v>
      </c>
      <c r="F96" s="26" t="s">
        <v>108</v>
      </c>
      <c r="G96" s="189" t="s">
        <v>108</v>
      </c>
      <c r="H96" s="25" t="s">
        <v>108</v>
      </c>
      <c r="I96" s="22" t="s">
        <v>108</v>
      </c>
      <c r="J96" s="21" t="s">
        <v>108</v>
      </c>
      <c r="K96" s="21" t="s">
        <v>108</v>
      </c>
      <c r="L96" s="191" t="s">
        <v>108</v>
      </c>
      <c r="M96" s="191" t="s">
        <v>108</v>
      </c>
      <c r="N96" s="21" t="s">
        <v>108</v>
      </c>
      <c r="O96" s="21" t="s">
        <v>108</v>
      </c>
      <c r="P96" s="21" t="s">
        <v>108</v>
      </c>
      <c r="Q96" s="195" t="s">
        <v>108</v>
      </c>
      <c r="R96" s="22" t="s">
        <v>108</v>
      </c>
      <c r="S96" s="22" t="s">
        <v>108</v>
      </c>
      <c r="T96" s="193" t="s">
        <v>108</v>
      </c>
      <c r="V96" s="25" t="e">
        <v>#VALUE!</v>
      </c>
      <c r="W96" s="194" t="e">
        <v>#VALUE!</v>
      </c>
      <c r="X96" s="21" t="e">
        <v>#VALUE!</v>
      </c>
      <c r="Y96" s="21" t="e">
        <v>#VALUE!</v>
      </c>
      <c r="Z96" s="26" t="e">
        <v>#VALUE!</v>
      </c>
      <c r="AA96" s="21">
        <v>7.0419396889817229E-2</v>
      </c>
      <c r="AB96" s="21" t="e">
        <v>#VALUE!</v>
      </c>
    </row>
    <row r="97" spans="1:28" ht="13.8" x14ac:dyDescent="0.3">
      <c r="A97" s="24" t="s">
        <v>108</v>
      </c>
      <c r="B97" s="24" t="s">
        <v>108</v>
      </c>
      <c r="C97" s="8" t="s">
        <v>108</v>
      </c>
      <c r="D97" s="25" t="s">
        <v>108</v>
      </c>
      <c r="E97" s="25" t="s">
        <v>108</v>
      </c>
      <c r="F97" s="26" t="s">
        <v>108</v>
      </c>
      <c r="G97" s="189" t="s">
        <v>108</v>
      </c>
      <c r="H97" s="25" t="s">
        <v>108</v>
      </c>
      <c r="I97" s="22" t="s">
        <v>108</v>
      </c>
      <c r="J97" s="21" t="s">
        <v>108</v>
      </c>
      <c r="K97" s="21" t="s">
        <v>108</v>
      </c>
      <c r="L97" s="191" t="s">
        <v>108</v>
      </c>
      <c r="M97" s="191" t="s">
        <v>108</v>
      </c>
      <c r="N97" s="21" t="s">
        <v>108</v>
      </c>
      <c r="O97" s="21" t="s">
        <v>108</v>
      </c>
      <c r="P97" s="21" t="s">
        <v>108</v>
      </c>
      <c r="Q97" s="195" t="s">
        <v>108</v>
      </c>
      <c r="R97" s="22" t="s">
        <v>108</v>
      </c>
      <c r="S97" s="22" t="s">
        <v>108</v>
      </c>
      <c r="T97" s="193" t="s">
        <v>108</v>
      </c>
      <c r="V97" s="25" t="e">
        <v>#VALUE!</v>
      </c>
      <c r="W97" s="194" t="e">
        <v>#VALUE!</v>
      </c>
      <c r="X97" s="21" t="e">
        <v>#VALUE!</v>
      </c>
      <c r="Y97" s="21" t="e">
        <v>#VALUE!</v>
      </c>
      <c r="Z97" s="26" t="e">
        <v>#VALUE!</v>
      </c>
      <c r="AA97" s="21">
        <v>7.0419396889817229E-2</v>
      </c>
      <c r="AB97" s="21" t="e">
        <v>#VALUE!</v>
      </c>
    </row>
    <row r="98" spans="1:28" ht="13.8" x14ac:dyDescent="0.3">
      <c r="A98" s="24" t="s">
        <v>108</v>
      </c>
      <c r="B98" s="24" t="s">
        <v>108</v>
      </c>
      <c r="C98" s="8" t="s">
        <v>108</v>
      </c>
      <c r="D98" s="25" t="s">
        <v>108</v>
      </c>
      <c r="E98" s="25" t="s">
        <v>108</v>
      </c>
      <c r="F98" s="26" t="s">
        <v>108</v>
      </c>
      <c r="G98" s="189" t="s">
        <v>108</v>
      </c>
      <c r="H98" s="25" t="s">
        <v>108</v>
      </c>
      <c r="I98" s="22" t="s">
        <v>108</v>
      </c>
      <c r="J98" s="21" t="s">
        <v>108</v>
      </c>
      <c r="K98" s="21" t="s">
        <v>108</v>
      </c>
      <c r="L98" s="191" t="s">
        <v>108</v>
      </c>
      <c r="M98" s="191" t="s">
        <v>108</v>
      </c>
      <c r="N98" s="21" t="s">
        <v>108</v>
      </c>
      <c r="O98" s="21" t="s">
        <v>108</v>
      </c>
      <c r="P98" s="21" t="s">
        <v>108</v>
      </c>
      <c r="Q98" s="195" t="s">
        <v>108</v>
      </c>
      <c r="R98" s="22" t="s">
        <v>108</v>
      </c>
      <c r="S98" s="22" t="s">
        <v>108</v>
      </c>
      <c r="T98" s="193" t="s">
        <v>108</v>
      </c>
      <c r="V98" s="25" t="e">
        <v>#VALUE!</v>
      </c>
      <c r="W98" s="194" t="e">
        <v>#VALUE!</v>
      </c>
      <c r="X98" s="21" t="e">
        <v>#VALUE!</v>
      </c>
      <c r="Y98" s="21" t="e">
        <v>#VALUE!</v>
      </c>
      <c r="Z98" s="26" t="e">
        <v>#VALUE!</v>
      </c>
      <c r="AA98" s="21">
        <v>7.0419396889817229E-2</v>
      </c>
      <c r="AB98" s="21" t="e">
        <v>#VALUE!</v>
      </c>
    </row>
    <row r="99" spans="1:28" ht="13.8" x14ac:dyDescent="0.3">
      <c r="A99" s="24" t="s">
        <v>108</v>
      </c>
      <c r="B99" s="24" t="s">
        <v>108</v>
      </c>
      <c r="C99" s="8" t="s">
        <v>108</v>
      </c>
      <c r="D99" s="25" t="s">
        <v>108</v>
      </c>
      <c r="E99" s="25" t="s">
        <v>108</v>
      </c>
      <c r="F99" s="26" t="s">
        <v>108</v>
      </c>
      <c r="G99" s="189" t="s">
        <v>108</v>
      </c>
      <c r="H99" s="25" t="s">
        <v>108</v>
      </c>
      <c r="I99" s="22" t="s">
        <v>108</v>
      </c>
      <c r="J99" s="21" t="s">
        <v>108</v>
      </c>
      <c r="K99" s="21" t="s">
        <v>108</v>
      </c>
      <c r="L99" s="191" t="s">
        <v>108</v>
      </c>
      <c r="M99" s="191" t="s">
        <v>108</v>
      </c>
      <c r="N99" s="21" t="s">
        <v>108</v>
      </c>
      <c r="O99" s="21" t="s">
        <v>108</v>
      </c>
      <c r="P99" s="21" t="s">
        <v>108</v>
      </c>
      <c r="Q99" s="195" t="s">
        <v>108</v>
      </c>
      <c r="R99" s="22" t="s">
        <v>108</v>
      </c>
      <c r="S99" s="22" t="s">
        <v>108</v>
      </c>
      <c r="T99" s="193" t="s">
        <v>108</v>
      </c>
      <c r="V99" s="25" t="e">
        <v>#VALUE!</v>
      </c>
      <c r="W99" s="194" t="e">
        <v>#VALUE!</v>
      </c>
      <c r="X99" s="21" t="e">
        <v>#VALUE!</v>
      </c>
      <c r="Y99" s="21" t="e">
        <v>#VALUE!</v>
      </c>
      <c r="Z99" s="26" t="e">
        <v>#VALUE!</v>
      </c>
      <c r="AA99" s="21">
        <v>7.0419396889817229E-2</v>
      </c>
      <c r="AB99" s="21" t="e">
        <v>#VALUE!</v>
      </c>
    </row>
    <row r="100" spans="1:28" ht="13.8" x14ac:dyDescent="0.3">
      <c r="A100" s="24" t="s">
        <v>108</v>
      </c>
      <c r="B100" s="24" t="s">
        <v>108</v>
      </c>
      <c r="C100" s="8" t="s">
        <v>108</v>
      </c>
      <c r="D100" s="25" t="s">
        <v>108</v>
      </c>
      <c r="E100" s="25" t="s">
        <v>108</v>
      </c>
      <c r="F100" s="26" t="s">
        <v>108</v>
      </c>
      <c r="G100" s="189" t="s">
        <v>108</v>
      </c>
      <c r="H100" s="25" t="s">
        <v>108</v>
      </c>
      <c r="I100" s="22" t="s">
        <v>108</v>
      </c>
      <c r="J100" s="21" t="s">
        <v>108</v>
      </c>
      <c r="K100" s="21" t="s">
        <v>108</v>
      </c>
      <c r="L100" s="191" t="s">
        <v>108</v>
      </c>
      <c r="M100" s="191" t="s">
        <v>108</v>
      </c>
      <c r="N100" s="21" t="s">
        <v>108</v>
      </c>
      <c r="O100" s="21" t="s">
        <v>108</v>
      </c>
      <c r="P100" s="21" t="s">
        <v>108</v>
      </c>
      <c r="Q100" s="195" t="s">
        <v>108</v>
      </c>
      <c r="R100" s="22" t="s">
        <v>108</v>
      </c>
      <c r="S100" s="22" t="s">
        <v>108</v>
      </c>
      <c r="T100" s="193" t="s">
        <v>108</v>
      </c>
      <c r="V100" s="25" t="e">
        <v>#VALUE!</v>
      </c>
      <c r="W100" s="194" t="e">
        <v>#VALUE!</v>
      </c>
      <c r="X100" s="21" t="e">
        <v>#VALUE!</v>
      </c>
      <c r="Y100" s="21" t="e">
        <v>#VALUE!</v>
      </c>
      <c r="Z100" s="26" t="e">
        <v>#VALUE!</v>
      </c>
      <c r="AA100" s="21">
        <v>7.0419396889817229E-2</v>
      </c>
      <c r="AB100" s="21" t="e">
        <v>#VALUE!</v>
      </c>
    </row>
    <row r="101" spans="1:28" ht="13.8" x14ac:dyDescent="0.3">
      <c r="A101" s="24" t="s">
        <v>108</v>
      </c>
      <c r="B101" s="24" t="s">
        <v>108</v>
      </c>
      <c r="C101" s="8" t="s">
        <v>108</v>
      </c>
      <c r="D101" s="25" t="s">
        <v>108</v>
      </c>
      <c r="E101" s="25" t="s">
        <v>108</v>
      </c>
      <c r="F101" s="26" t="s">
        <v>108</v>
      </c>
      <c r="G101" s="189" t="s">
        <v>108</v>
      </c>
      <c r="H101" s="25" t="s">
        <v>108</v>
      </c>
      <c r="I101" s="22" t="s">
        <v>108</v>
      </c>
      <c r="J101" s="21" t="s">
        <v>108</v>
      </c>
      <c r="K101" s="21" t="s">
        <v>108</v>
      </c>
      <c r="L101" s="191" t="s">
        <v>108</v>
      </c>
      <c r="M101" s="191" t="s">
        <v>108</v>
      </c>
      <c r="N101" s="21" t="s">
        <v>108</v>
      </c>
      <c r="O101" s="21" t="s">
        <v>108</v>
      </c>
      <c r="P101" s="21" t="s">
        <v>108</v>
      </c>
      <c r="Q101" s="195" t="s">
        <v>108</v>
      </c>
      <c r="R101" s="22" t="s">
        <v>108</v>
      </c>
      <c r="S101" s="22" t="s">
        <v>108</v>
      </c>
      <c r="T101" s="193" t="s">
        <v>108</v>
      </c>
      <c r="V101" s="25" t="e">
        <v>#VALUE!</v>
      </c>
      <c r="W101" s="194" t="e">
        <v>#VALUE!</v>
      </c>
      <c r="X101" s="21" t="e">
        <v>#VALUE!</v>
      </c>
      <c r="Y101" s="21" t="e">
        <v>#VALUE!</v>
      </c>
      <c r="Z101" s="26" t="e">
        <v>#VALUE!</v>
      </c>
      <c r="AA101" s="21">
        <v>7.0419396889817229E-2</v>
      </c>
      <c r="AB101" s="21" t="e">
        <v>#VALUE!</v>
      </c>
    </row>
    <row r="102" spans="1:28" ht="13.8" x14ac:dyDescent="0.3">
      <c r="A102" s="24" t="s">
        <v>108</v>
      </c>
      <c r="B102" s="24" t="s">
        <v>108</v>
      </c>
      <c r="C102" s="8" t="s">
        <v>108</v>
      </c>
      <c r="D102" s="25" t="s">
        <v>108</v>
      </c>
      <c r="E102" s="25" t="s">
        <v>108</v>
      </c>
      <c r="F102" s="26" t="s">
        <v>108</v>
      </c>
      <c r="G102" s="189" t="s">
        <v>108</v>
      </c>
      <c r="H102" s="25" t="s">
        <v>108</v>
      </c>
      <c r="I102" s="22" t="s">
        <v>108</v>
      </c>
      <c r="J102" s="21" t="s">
        <v>108</v>
      </c>
      <c r="K102" s="21" t="s">
        <v>108</v>
      </c>
      <c r="L102" s="191" t="s">
        <v>108</v>
      </c>
      <c r="M102" s="191" t="s">
        <v>108</v>
      </c>
      <c r="N102" s="21" t="s">
        <v>108</v>
      </c>
      <c r="O102" s="21" t="s">
        <v>108</v>
      </c>
      <c r="P102" s="21" t="s">
        <v>108</v>
      </c>
      <c r="Q102" s="195" t="s">
        <v>108</v>
      </c>
      <c r="R102" s="22" t="s">
        <v>108</v>
      </c>
      <c r="S102" s="22" t="s">
        <v>108</v>
      </c>
      <c r="T102" s="193" t="s">
        <v>108</v>
      </c>
      <c r="V102" s="25" t="e">
        <v>#VALUE!</v>
      </c>
      <c r="W102" s="205" t="e">
        <v>#VALUE!</v>
      </c>
      <c r="X102" s="21" t="e">
        <v>#VALUE!</v>
      </c>
      <c r="Y102" s="21" t="e">
        <v>#VALUE!</v>
      </c>
      <c r="Z102" s="26" t="e">
        <v>#VALUE!</v>
      </c>
      <c r="AA102" s="21">
        <v>7.0419396889817229E-2</v>
      </c>
      <c r="AB102" s="21" t="e">
        <v>#VALUE!</v>
      </c>
    </row>
    <row r="103" spans="1:28" ht="13.8" x14ac:dyDescent="0.3">
      <c r="A103" s="24" t="s">
        <v>108</v>
      </c>
      <c r="B103" s="24" t="s">
        <v>108</v>
      </c>
      <c r="C103" s="8" t="s">
        <v>108</v>
      </c>
      <c r="D103" s="25" t="s">
        <v>108</v>
      </c>
      <c r="E103" s="25" t="s">
        <v>108</v>
      </c>
      <c r="F103" s="26" t="s">
        <v>108</v>
      </c>
      <c r="G103" s="189" t="s">
        <v>108</v>
      </c>
      <c r="H103" s="25" t="s">
        <v>108</v>
      </c>
      <c r="I103" s="22" t="s">
        <v>108</v>
      </c>
      <c r="J103" s="21" t="s">
        <v>108</v>
      </c>
      <c r="K103" s="21" t="s">
        <v>108</v>
      </c>
      <c r="L103" s="191" t="s">
        <v>108</v>
      </c>
      <c r="M103" s="191" t="s">
        <v>108</v>
      </c>
      <c r="N103" s="21" t="s">
        <v>108</v>
      </c>
      <c r="O103" s="21" t="s">
        <v>108</v>
      </c>
      <c r="P103" s="21" t="s">
        <v>108</v>
      </c>
      <c r="Q103" s="195" t="s">
        <v>108</v>
      </c>
      <c r="R103" s="22" t="s">
        <v>108</v>
      </c>
      <c r="S103" s="22" t="s">
        <v>108</v>
      </c>
      <c r="T103" s="193" t="s">
        <v>108</v>
      </c>
      <c r="V103" s="25" t="e">
        <v>#VALUE!</v>
      </c>
      <c r="W103" s="194" t="e">
        <v>#VALUE!</v>
      </c>
      <c r="X103" s="21" t="e">
        <v>#VALUE!</v>
      </c>
      <c r="Y103" s="21" t="e">
        <v>#VALUE!</v>
      </c>
      <c r="Z103" s="26" t="e">
        <v>#VALUE!</v>
      </c>
      <c r="AA103" s="21">
        <v>7.0419396889817229E-2</v>
      </c>
      <c r="AB103" s="21" t="e">
        <v>#VALUE!</v>
      </c>
    </row>
    <row r="105" spans="1:28" x14ac:dyDescent="0.2">
      <c r="J105" s="13">
        <v>62309.260000000009</v>
      </c>
    </row>
    <row r="106" spans="1:28" x14ac:dyDescent="0.2">
      <c r="J106" s="206">
        <v>12889.260000000009</v>
      </c>
    </row>
  </sheetData>
  <mergeCells count="1">
    <mergeCell ref="C2:S2"/>
  </mergeCells>
  <conditionalFormatting sqref="T32">
    <cfRule type="cellIs" dxfId="1" priority="3" operator="greaterThan">
      <formula>0</formula>
    </cfRule>
  </conditionalFormatting>
  <conditionalFormatting sqref="T32:T103">
    <cfRule type="cellIs" dxfId="0" priority="1" operator="greaterThan">
      <formula>0</formula>
    </cfRule>
  </conditionalFormatting>
  <pageMargins left="0.75" right="0.75" top="1" bottom="1" header="0" footer="0"/>
  <pageSetup paperSize="9" orientation="portrait" r:id="rId1"/>
  <headerFooter alignWithMargins="0">
    <oddFooter>&amp;C_x000D_&amp;1#&amp;"Calibri"&amp;8&amp;K000000 Información Interna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c2652d7-22de-4e7f-b43c-877c4050c6e5">
      <Terms xmlns="http://schemas.microsoft.com/office/infopath/2007/PartnerControls"/>
    </lcf76f155ced4ddcb4097134ff3c332f>
    <TaxCatchAll xmlns="944aa5ff-6c8d-43de-a4c6-e2aeb87200c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DF5D894EF1034AA003320D056ED510" ma:contentTypeVersion="14" ma:contentTypeDescription="Crear nuevo documento." ma:contentTypeScope="" ma:versionID="4aa310486fef6663873edc80424a455e">
  <xsd:schema xmlns:xsd="http://www.w3.org/2001/XMLSchema" xmlns:xs="http://www.w3.org/2001/XMLSchema" xmlns:p="http://schemas.microsoft.com/office/2006/metadata/properties" xmlns:ns2="5c2652d7-22de-4e7f-b43c-877c4050c6e5" xmlns:ns3="944aa5ff-6c8d-43de-a4c6-e2aeb87200c2" targetNamespace="http://schemas.microsoft.com/office/2006/metadata/properties" ma:root="true" ma:fieldsID="b28f822d5173da1f96f64e7c956dd766" ns2:_="" ns3:_="">
    <xsd:import namespace="5c2652d7-22de-4e7f-b43c-877c4050c6e5"/>
    <xsd:import namespace="944aa5ff-6c8d-43de-a4c6-e2aeb87200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2652d7-22de-4e7f-b43c-877c4050c6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69640d6a-b9d9-4509-95e0-8252b02366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4aa5ff-6c8d-43de-a4c6-e2aeb87200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210d6e-9dcc-4b5c-b541-76574b6633ff}" ma:internalName="TaxCatchAll" ma:showField="CatchAllData" ma:web="944aa5ff-6c8d-43de-a4c6-e2aeb87200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449AA7-B00F-494D-A228-13FFDB6846C0}">
  <ds:schemaRefs>
    <ds:schemaRef ds:uri="5c2652d7-22de-4e7f-b43c-877c4050c6e5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944aa5ff-6c8d-43de-a4c6-e2aeb87200c2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68984CF-BD9C-4AF8-BB0C-F22D7FBB05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6B1320-1EDD-471F-B89D-8C5560769C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2652d7-22de-4e7f-b43c-877c4050c6e5"/>
    <ds:schemaRef ds:uri="944aa5ff-6c8d-43de-a4c6-e2aeb87200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Gráficos</vt:lpstr>
      </vt:variant>
      <vt:variant>
        <vt:i4>1</vt:i4>
      </vt:variant>
    </vt:vector>
  </HeadingPairs>
  <TitlesOfParts>
    <vt:vector size="8" baseType="lpstr">
      <vt:lpstr>RESUMEN</vt:lpstr>
      <vt:lpstr>simulador</vt:lpstr>
      <vt:lpstr>simulador_1</vt:lpstr>
      <vt:lpstr>Calculos CC</vt:lpstr>
      <vt:lpstr>Simulador Original</vt:lpstr>
      <vt:lpstr>Calculos Original</vt:lpstr>
      <vt:lpstr>Simulador Original (2)</vt:lpstr>
      <vt:lpstr>Gráfico1</vt:lpstr>
    </vt:vector>
  </TitlesOfParts>
  <Company>Banco Financiero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VALOR DE LA CUOTA</dc:title>
  <dc:creator>Ruiz Renguifo Renato</dc:creator>
  <cp:lastModifiedBy>Mario Aguilar</cp:lastModifiedBy>
  <cp:lastPrinted>2007-07-03T16:53:09Z</cp:lastPrinted>
  <dcterms:created xsi:type="dcterms:W3CDTF">2006-02-23T15:21:47Z</dcterms:created>
  <dcterms:modified xsi:type="dcterms:W3CDTF">2025-05-06T19:49:05Z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0x0101009EDF5D894EF1034AA003320D056ED510</vt:lpwstr>
  </property>
  <property fmtid="{D5CDD505-2E9C-101B-9397-08002B2CF9AE}" pid="3" name="MediaServiceImageTags">
    <vt:lpwstr/>
  </property>
  <property fmtid="{D5CDD505-2E9C-101B-9397-08002B2CF9AE}" pid="4" name="MSIP_Label_b117a5ba-086b-43a5-ac20-78afcb57e39e_Enabled">
    <vt:lpwstr>true</vt:lpwstr>
  </property>
  <property fmtid="{D5CDD505-2E9C-101B-9397-08002B2CF9AE}" pid="5" name="MSIP_Label_b117a5ba-086b-43a5-ac20-78afcb57e39e_SetDate">
    <vt:lpwstr>2025-05-06T14:33:14Z</vt:lpwstr>
  </property>
  <property fmtid="{D5CDD505-2E9C-101B-9397-08002B2CF9AE}" pid="6" name="MSIP_Label_b117a5ba-086b-43a5-ac20-78afcb57e39e_Method">
    <vt:lpwstr>Standard</vt:lpwstr>
  </property>
  <property fmtid="{D5CDD505-2E9C-101B-9397-08002B2CF9AE}" pid="7" name="MSIP_Label_b117a5ba-086b-43a5-ac20-78afcb57e39e_Name">
    <vt:lpwstr>Información Interna_Producción</vt:lpwstr>
  </property>
  <property fmtid="{D5CDD505-2E9C-101B-9397-08002B2CF9AE}" pid="8" name="MSIP_Label_b117a5ba-086b-43a5-ac20-78afcb57e39e_SiteId">
    <vt:lpwstr>517e0e98-94c4-4cdc-aedf-9a5d64ccdfb2</vt:lpwstr>
  </property>
  <property fmtid="{D5CDD505-2E9C-101B-9397-08002B2CF9AE}" pid="9" name="MSIP_Label_b117a5ba-086b-43a5-ac20-78afcb57e39e_ActionId">
    <vt:lpwstr>c812a708-2fb0-40d3-820e-78bd70d1c1a5</vt:lpwstr>
  </property>
  <property fmtid="{D5CDD505-2E9C-101B-9397-08002B2CF9AE}" pid="10" name="MSIP_Label_b117a5ba-086b-43a5-ac20-78afcb57e39e_ContentBits">
    <vt:lpwstr>2</vt:lpwstr>
  </property>
</Properties>
</file>